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-108" yWindow="-108" windowWidth="23256" windowHeight="12456" tabRatio="787" activeTab="3"/>
  </bookViews>
  <sheets>
    <sheet name="概要" sheetId="20" r:id="rId1"/>
    <sheet name="表紙" sheetId="21" r:id="rId2"/>
    <sheet name="日程" sheetId="22" r:id="rId3"/>
    <sheet name="AR予選" sheetId="3" r:id="rId4"/>
    <sheet name="AP予選 " sheetId="33" r:id="rId5"/>
    <sheet name="BR予選" sheetId="18" r:id="rId6"/>
    <sheet name="BP予選" sheetId="24" r:id="rId7"/>
    <sheet name="団体戦" sheetId="5" r:id="rId8"/>
    <sheet name="新聞社報告" sheetId="34" r:id="rId9"/>
    <sheet name="決勝_男子" sheetId="6" r:id="rId10"/>
    <sheet name="決勝_女子" sheetId="29" r:id="rId11"/>
    <sheet name="補助員" sheetId="30" r:id="rId12"/>
  </sheets>
  <externalReferences>
    <externalReference r:id="rId13"/>
    <externalReference r:id="rId14"/>
  </externalReferences>
  <definedNames>
    <definedName name="_xlnm._FilterDatabase" localSheetId="4" hidden="1">'AP予選 '!$A$12:$Q$12</definedName>
    <definedName name="_xlnm._FilterDatabase" localSheetId="3" hidden="1">AR予選!$A$13:$P$13</definedName>
    <definedName name="_xlnm._FilterDatabase" localSheetId="6" hidden="1">BP予選!#REF!</definedName>
    <definedName name="_xlnm._FilterDatabase" localSheetId="5" hidden="1">BR予選!$A$37:$O$37</definedName>
    <definedName name="_xlnm._FilterDatabase" localSheetId="10" hidden="1">決勝_女子!$C$5:$O$48</definedName>
    <definedName name="_xlnm._FilterDatabase" localSheetId="9" hidden="1">決勝_男子!$C$5:$O$48</definedName>
    <definedName name="_xlnm._FilterDatabase" localSheetId="7" hidden="1">団体戦!#REF!</definedName>
    <definedName name="_xlnm.Print_Area" localSheetId="4">'AP予選 '!$B$1:$O$32</definedName>
    <definedName name="_xlnm.Print_Area" localSheetId="3">AR予選!$B$2:$P$30</definedName>
    <definedName name="_xlnm.Print_Area" localSheetId="6">BP予選!$B$1:$Q$38</definedName>
    <definedName name="_xlnm.Print_Area" localSheetId="5">BR予選!$B$1:$N$34,BR予選!$B$36:$N$51</definedName>
    <definedName name="_xlnm.Print_Area" localSheetId="0">概要!$A$1:$I$23</definedName>
    <definedName name="_xlnm.Print_Area" localSheetId="10">決勝_女子!$B$2:$P$53</definedName>
    <definedName name="_xlnm.Print_Area" localSheetId="9">決勝_男子!$B$2:$P$53</definedName>
    <definedName name="_xlnm.Print_Area" localSheetId="7">団体戦!$B$1:$J$46</definedName>
    <definedName name="_xlnm.Print_Area" localSheetId="2">日程!$B$1:$K$41</definedName>
    <definedName name="_xlnm.Print_Area" localSheetId="1">表紙!$B$3:$H$46</definedName>
    <definedName name="_xlnm.Print_Titles" localSheetId="5">BR予選!$1:$10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34" l="1"/>
  <c r="F15" i="34"/>
  <c r="F14" i="34"/>
  <c r="E16" i="34"/>
  <c r="E14" i="34"/>
  <c r="D16" i="34"/>
  <c r="D15" i="34"/>
  <c r="C16" i="34"/>
  <c r="C14" i="34"/>
  <c r="D14" i="34"/>
  <c r="C3" i="5"/>
  <c r="D3" i="5" s="1"/>
  <c r="I3" i="5" s="1"/>
  <c r="J3" i="5" s="1"/>
  <c r="E3" i="5"/>
  <c r="F3" i="5" s="1"/>
  <c r="G3" i="5"/>
  <c r="H3" i="5"/>
  <c r="X14" i="3" a="1"/>
  <c r="X14" i="3" s="1"/>
  <c r="U17" i="3"/>
  <c r="U18" i="3"/>
  <c r="U19" i="3"/>
  <c r="M17" i="3"/>
  <c r="O17" i="3" s="1"/>
  <c r="M16" i="3"/>
  <c r="M18" i="3"/>
  <c r="O16" i="3"/>
  <c r="O18" i="3"/>
  <c r="H67" i="34"/>
  <c r="G68" i="34"/>
  <c r="G67" i="34"/>
  <c r="F67" i="34"/>
  <c r="E68" i="34"/>
  <c r="E67" i="34"/>
  <c r="D67" i="34"/>
  <c r="C68" i="34"/>
  <c r="C67" i="34"/>
  <c r="G65" i="34"/>
  <c r="E65" i="34"/>
  <c r="C65" i="34"/>
  <c r="G60" i="34"/>
  <c r="E60" i="34"/>
  <c r="C60" i="34"/>
  <c r="G58" i="34"/>
  <c r="E58" i="34"/>
  <c r="C58" i="34"/>
  <c r="G53" i="34"/>
  <c r="E53" i="34"/>
  <c r="C53" i="34"/>
  <c r="G51" i="34"/>
  <c r="E52" i="34"/>
  <c r="E51" i="34"/>
  <c r="C51" i="34"/>
  <c r="G45" i="34"/>
  <c r="F45" i="34"/>
  <c r="E45" i="34"/>
  <c r="C45" i="34"/>
  <c r="G42" i="34"/>
  <c r="E42" i="34"/>
  <c r="C42" i="34"/>
  <c r="D31" i="34" a="1"/>
  <c r="D31" i="34" s="1"/>
  <c r="D30" i="34" a="1"/>
  <c r="D30" i="34" s="1"/>
  <c r="C30" i="34" a="1"/>
  <c r="C30" i="34" s="1"/>
  <c r="D25" i="34"/>
  <c r="C26" i="34" a="1"/>
  <c r="C26" i="34" s="1"/>
  <c r="C25" i="34" a="1"/>
  <c r="C25" i="34" s="1"/>
  <c r="F23" i="34"/>
  <c r="E24" i="34"/>
  <c r="E23" i="34"/>
  <c r="D23" i="34"/>
  <c r="C24" i="34"/>
  <c r="C23" i="34"/>
  <c r="C17" i="34"/>
  <c r="G9" i="34"/>
  <c r="E9" i="34"/>
  <c r="C9" i="34"/>
  <c r="D38" i="34"/>
  <c r="C38" i="34"/>
  <c r="C4" i="34"/>
  <c r="N31" i="24"/>
  <c r="E40" i="5"/>
  <c r="D61" i="34" s="1"/>
  <c r="E41" i="5"/>
  <c r="F61" i="34" s="1"/>
  <c r="E42" i="5"/>
  <c r="F42" i="5" s="1"/>
  <c r="N32" i="24"/>
  <c r="N33" i="24"/>
  <c r="N34" i="24"/>
  <c r="N35" i="24"/>
  <c r="N36" i="24"/>
  <c r="N37" i="24"/>
  <c r="N38" i="24"/>
  <c r="C40" i="5"/>
  <c r="D60" i="34" s="1"/>
  <c r="C41" i="5"/>
  <c r="D41" i="5" s="1"/>
  <c r="C42" i="5"/>
  <c r="H60" i="34" s="1"/>
  <c r="C27" i="5"/>
  <c r="C28" i="5"/>
  <c r="M33" i="18"/>
  <c r="N33" i="18" s="1"/>
  <c r="M34" i="18"/>
  <c r="N34" i="18" s="1"/>
  <c r="M13" i="18"/>
  <c r="D51" i="34" s="1"/>
  <c r="D12" i="5"/>
  <c r="F12" i="5"/>
  <c r="I12" i="5"/>
  <c r="C31" i="34" s="1" a="1"/>
  <c r="C31" i="34" s="1"/>
  <c r="E8" i="5"/>
  <c r="D18" i="34" s="1" a="1"/>
  <c r="D18" i="34" s="1"/>
  <c r="C8" i="5"/>
  <c r="D17" i="34" s="1" a="1"/>
  <c r="D17" i="34" s="1"/>
  <c r="U28" i="3"/>
  <c r="G8" i="5" s="1"/>
  <c r="D19" i="34" s="1" a="1"/>
  <c r="D19" i="34" s="1"/>
  <c r="U27" i="3"/>
  <c r="U26" i="3"/>
  <c r="U16" i="3"/>
  <c r="U15" i="3"/>
  <c r="U14" i="3"/>
  <c r="F24" i="5"/>
  <c r="F38" i="5" s="1"/>
  <c r="F15" i="5"/>
  <c r="D24" i="5"/>
  <c r="E10" i="5"/>
  <c r="E6" i="5"/>
  <c r="E1" i="5"/>
  <c r="G31" i="24"/>
  <c r="F31" i="24"/>
  <c r="D31" i="24"/>
  <c r="F14" i="24"/>
  <c r="E66" i="34" s="1"/>
  <c r="F15" i="24"/>
  <c r="G66" i="34" s="1"/>
  <c r="F16" i="24"/>
  <c r="F17" i="24"/>
  <c r="F18" i="24"/>
  <c r="F19" i="24"/>
  <c r="F20" i="24"/>
  <c r="F21" i="24"/>
  <c r="F22" i="24"/>
  <c r="F23" i="24"/>
  <c r="F24" i="24"/>
  <c r="F25" i="24"/>
  <c r="F26" i="24"/>
  <c r="F27" i="24"/>
  <c r="F13" i="24"/>
  <c r="C66" i="34" s="1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13" i="24"/>
  <c r="D14" i="24"/>
  <c r="D15" i="24"/>
  <c r="D16" i="24"/>
  <c r="D17" i="24"/>
  <c r="D18" i="24"/>
  <c r="D19" i="24"/>
  <c r="D20" i="24"/>
  <c r="D21" i="24"/>
  <c r="D22" i="24"/>
  <c r="D23" i="24"/>
  <c r="D24" i="24"/>
  <c r="D25" i="24"/>
  <c r="D26" i="24"/>
  <c r="D27" i="24"/>
  <c r="D13" i="24"/>
  <c r="X14" i="24" a="1"/>
  <c r="X14" i="24" s="1"/>
  <c r="Y14" i="24" a="1"/>
  <c r="Y14" i="24" s="1"/>
  <c r="AB14" i="24" a="1"/>
  <c r="AB14" i="24" s="1"/>
  <c r="C34" i="18"/>
  <c r="F34" i="18"/>
  <c r="E34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13" i="18"/>
  <c r="E14" i="18"/>
  <c r="E15" i="18"/>
  <c r="G52" i="34" s="1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13" i="18"/>
  <c r="C52" i="34" s="1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13" i="18"/>
  <c r="I41" i="5" l="1"/>
  <c r="E61" i="34" s="1"/>
  <c r="J41" i="5"/>
  <c r="D42" i="5"/>
  <c r="F41" i="5"/>
  <c r="F60" i="34"/>
  <c r="D40" i="5"/>
  <c r="H61" i="34"/>
  <c r="H45" i="34"/>
  <c r="F40" i="5"/>
  <c r="X18" i="3" a="1"/>
  <c r="X18" i="3" s="1"/>
  <c r="X17" i="3" a="1"/>
  <c r="X17" i="3" s="1"/>
  <c r="X16" i="3" a="1"/>
  <c r="X16" i="3" s="1"/>
  <c r="G4" i="5"/>
  <c r="C4" i="5"/>
  <c r="E4" i="5"/>
  <c r="E24" i="5"/>
  <c r="E38" i="5" s="1"/>
  <c r="D38" i="5"/>
  <c r="D30" i="5"/>
  <c r="E30" i="5" s="1"/>
  <c r="F30" i="5"/>
  <c r="E15" i="5"/>
  <c r="AC13" i="24" a="1"/>
  <c r="AC13" i="24" s="1"/>
  <c r="AC14" i="24" a="1"/>
  <c r="AC14" i="24" s="1"/>
  <c r="AA13" i="24" a="1"/>
  <c r="AA13" i="24" s="1"/>
  <c r="X13" i="24" a="1"/>
  <c r="X13" i="24" s="1"/>
  <c r="AC15" i="24" a="1"/>
  <c r="AC15" i="24" s="1"/>
  <c r="AB16" i="24" a="1"/>
  <c r="AB16" i="24" s="1"/>
  <c r="AB15" i="24" a="1"/>
  <c r="AB15" i="24" s="1"/>
  <c r="AB13" i="24" a="1"/>
  <c r="AB13" i="24" s="1"/>
  <c r="Z13" i="24" a="1"/>
  <c r="Z13" i="24" s="1"/>
  <c r="Y13" i="24" a="1"/>
  <c r="Y13" i="24" s="1"/>
  <c r="AA31" i="24" a="1"/>
  <c r="AA31" i="24" s="1"/>
  <c r="AA32" i="24" a="1"/>
  <c r="AA32" i="24" s="1"/>
  <c r="Y31" i="24" a="1"/>
  <c r="Y31" i="24" s="1"/>
  <c r="Y32" i="24" a="1"/>
  <c r="Y32" i="24" s="1"/>
  <c r="Z32" i="24" a="1"/>
  <c r="Z32" i="24" s="1"/>
  <c r="X32" i="24" a="1"/>
  <c r="X32" i="24" s="1"/>
  <c r="Z31" i="24" a="1"/>
  <c r="Z31" i="24" s="1"/>
  <c r="X31" i="24" a="1"/>
  <c r="X31" i="24" s="1"/>
  <c r="W39" i="18" a="1"/>
  <c r="W39" i="18" s="1"/>
  <c r="Z40" i="18" a="1"/>
  <c r="Z40" i="18" s="1"/>
  <c r="X40" i="18" a="1"/>
  <c r="X40" i="18" s="1"/>
  <c r="X38" i="18" a="1"/>
  <c r="X38" i="18" s="1"/>
  <c r="V39" i="18" a="1"/>
  <c r="V39" i="18" s="1"/>
  <c r="Y40" i="18" a="1"/>
  <c r="Y40" i="18" s="1"/>
  <c r="Y38" i="18" a="1"/>
  <c r="Y38" i="18" s="1"/>
  <c r="X39" i="18" a="1"/>
  <c r="X39" i="18" s="1"/>
  <c r="Z39" i="18" a="1"/>
  <c r="Z39" i="18" s="1"/>
  <c r="AA17" i="18" a="1"/>
  <c r="AA17" i="18" s="1"/>
  <c r="AA18" i="18" a="1"/>
  <c r="AA18" i="18" s="1"/>
  <c r="Z16" i="18" a="1"/>
  <c r="Z16" i="18" s="1"/>
  <c r="AA16" i="18" a="1"/>
  <c r="AA16" i="18" s="1"/>
  <c r="Y15" i="18" a="1"/>
  <c r="Y15" i="18" s="1"/>
  <c r="X15" i="18" a="1"/>
  <c r="X15" i="18" s="1"/>
  <c r="W15" i="18" a="1"/>
  <c r="W15" i="18" s="1"/>
  <c r="AA14" i="18" a="1"/>
  <c r="AA14" i="18" s="1"/>
  <c r="Z14" i="18" a="1"/>
  <c r="Z14" i="18" s="1"/>
  <c r="V14" i="18" a="1"/>
  <c r="V14" i="18" s="1"/>
  <c r="V15" i="18" a="1"/>
  <c r="V15" i="18" s="1"/>
  <c r="AA15" i="18" a="1"/>
  <c r="AA15" i="18" s="1"/>
  <c r="Y14" i="18" a="1"/>
  <c r="Y14" i="18" s="1"/>
  <c r="Z15" i="18" a="1"/>
  <c r="Z15" i="18" s="1"/>
  <c r="X14" i="18" a="1"/>
  <c r="X14" i="18" s="1"/>
  <c r="W14" i="18" a="1"/>
  <c r="W14" i="18" s="1"/>
  <c r="AA13" i="18" a="1"/>
  <c r="AA13" i="18" s="1"/>
  <c r="Z13" i="18" a="1"/>
  <c r="Z13" i="18" s="1"/>
  <c r="Y13" i="18" a="1"/>
  <c r="Y13" i="18" s="1"/>
  <c r="X13" i="18" a="1"/>
  <c r="X13" i="18" s="1"/>
  <c r="W13" i="18" a="1"/>
  <c r="W13" i="18" s="1"/>
  <c r="V13" i="18" a="1"/>
  <c r="V13" i="18" s="1"/>
  <c r="V38" i="18" a="1"/>
  <c r="V38" i="18" s="1"/>
  <c r="W38" i="18" a="1"/>
  <c r="W38" i="18" s="1"/>
  <c r="V40" i="18" a="1"/>
  <c r="V40" i="18" s="1"/>
  <c r="Y39" i="18" a="1"/>
  <c r="Y39" i="18" s="1"/>
  <c r="W40" i="18" a="1"/>
  <c r="W40" i="18" s="1"/>
  <c r="J40" i="5" l="1"/>
  <c r="I40" i="5"/>
  <c r="C61" i="34" s="1"/>
  <c r="I42" i="5"/>
  <c r="G61" i="34" s="1"/>
  <c r="J42" i="5"/>
  <c r="V38" i="24"/>
  <c r="V36" i="24"/>
  <c r="V34" i="24"/>
  <c r="V35" i="24"/>
  <c r="V37" i="24"/>
  <c r="V33" i="24"/>
  <c r="V26" i="24"/>
  <c r="V24" i="24"/>
  <c r="V25" i="24"/>
  <c r="V23" i="24"/>
  <c r="V21" i="24"/>
  <c r="V20" i="24"/>
  <c r="B23" i="24"/>
  <c r="B24" i="24"/>
  <c r="B25" i="24"/>
  <c r="B26" i="24"/>
  <c r="B27" i="24"/>
  <c r="N23" i="24"/>
  <c r="O23" i="24" s="1"/>
  <c r="N24" i="24"/>
  <c r="O24" i="24" s="1"/>
  <c r="N25" i="24"/>
  <c r="O25" i="24" s="1"/>
  <c r="N26" i="24"/>
  <c r="O26" i="24" s="1"/>
  <c r="N27" i="24"/>
  <c r="O27" i="24" s="1"/>
  <c r="D35" i="24"/>
  <c r="D36" i="24"/>
  <c r="F35" i="24"/>
  <c r="F36" i="24"/>
  <c r="G35" i="24"/>
  <c r="G36" i="24"/>
  <c r="D37" i="24"/>
  <c r="F37" i="24"/>
  <c r="G37" i="24"/>
  <c r="B19" i="24"/>
  <c r="B20" i="24"/>
  <c r="N19" i="24"/>
  <c r="O19" i="24" s="1"/>
  <c r="N20" i="24"/>
  <c r="O20" i="24" s="1"/>
  <c r="D32" i="24"/>
  <c r="D33" i="24"/>
  <c r="F32" i="24"/>
  <c r="F33" i="24"/>
  <c r="G32" i="24"/>
  <c r="G33" i="24"/>
  <c r="D34" i="24"/>
  <c r="F34" i="24"/>
  <c r="G34" i="24"/>
  <c r="T50" i="18"/>
  <c r="T49" i="18"/>
  <c r="T48" i="18"/>
  <c r="T47" i="18"/>
  <c r="T32" i="18"/>
  <c r="T31" i="18"/>
  <c r="T30" i="18"/>
  <c r="T29" i="18"/>
  <c r="T28" i="18"/>
  <c r="T27" i="18"/>
  <c r="F27" i="3"/>
  <c r="F28" i="3"/>
  <c r="F29" i="3"/>
  <c r="F30" i="3"/>
  <c r="E27" i="3"/>
  <c r="E10" i="34" s="1"/>
  <c r="E28" i="3"/>
  <c r="G10" i="34" s="1"/>
  <c r="E29" i="3"/>
  <c r="E30" i="3"/>
  <c r="C27" i="3"/>
  <c r="C28" i="3"/>
  <c r="C29" i="3"/>
  <c r="C30" i="3"/>
  <c r="F26" i="3"/>
  <c r="C26" i="3"/>
  <c r="E26" i="3"/>
  <c r="C10" i="34" s="1"/>
  <c r="X29" i="3" a="1"/>
  <c r="X29" i="3" s="1"/>
  <c r="X27" i="3" a="1"/>
  <c r="X27" i="3" s="1"/>
  <c r="X28" i="3" a="1"/>
  <c r="X28" i="3" s="1"/>
  <c r="X26" i="3" a="1"/>
  <c r="X26" i="3" s="1"/>
  <c r="M30" i="3"/>
  <c r="O30" i="3"/>
  <c r="M30" i="33"/>
  <c r="O30" i="33" s="1"/>
  <c r="M27" i="3"/>
  <c r="M28" i="3"/>
  <c r="H9" i="34" s="1"/>
  <c r="M29" i="3"/>
  <c r="M15" i="3"/>
  <c r="O15" i="3" s="1"/>
  <c r="M19" i="3"/>
  <c r="O19" i="3"/>
  <c r="C1" i="22"/>
  <c r="C13" i="22"/>
  <c r="O31" i="24"/>
  <c r="F38" i="24"/>
  <c r="N15" i="24"/>
  <c r="H65" i="34" s="1"/>
  <c r="N21" i="24"/>
  <c r="O21" i="24" s="1"/>
  <c r="N14" i="24"/>
  <c r="F65" i="34" s="1"/>
  <c r="N22" i="24"/>
  <c r="O22" i="24" s="1"/>
  <c r="N13" i="24"/>
  <c r="D65" i="34" s="1"/>
  <c r="N17" i="24"/>
  <c r="O17" i="24" s="1"/>
  <c r="N16" i="24"/>
  <c r="O16" i="24" s="1"/>
  <c r="M40" i="18"/>
  <c r="H53" i="34" s="1"/>
  <c r="M43" i="18"/>
  <c r="M14" i="18"/>
  <c r="F51" i="34" s="1"/>
  <c r="M15" i="18"/>
  <c r="H51" i="34" s="1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9" i="18"/>
  <c r="F53" i="34" s="1"/>
  <c r="M45" i="18"/>
  <c r="M41" i="18"/>
  <c r="M42" i="18"/>
  <c r="M44" i="18"/>
  <c r="M46" i="18"/>
  <c r="D27" i="5" s="1"/>
  <c r="I27" i="5" s="1"/>
  <c r="E47" i="34" s="1"/>
  <c r="M47" i="18"/>
  <c r="M48" i="18"/>
  <c r="M49" i="18"/>
  <c r="D28" i="5" s="1"/>
  <c r="I28" i="5" s="1"/>
  <c r="G47" i="34" s="1"/>
  <c r="M50" i="18"/>
  <c r="M51" i="18"/>
  <c r="V16" i="24"/>
  <c r="V15" i="24"/>
  <c r="V14" i="24"/>
  <c r="V13" i="24"/>
  <c r="T46" i="18"/>
  <c r="T45" i="18"/>
  <c r="T40" i="18"/>
  <c r="T39" i="18"/>
  <c r="T38" i="18"/>
  <c r="T23" i="18"/>
  <c r="T22" i="18"/>
  <c r="T21" i="18"/>
  <c r="T18" i="18"/>
  <c r="T17" i="18"/>
  <c r="T16" i="18"/>
  <c r="T15" i="18"/>
  <c r="T14" i="18"/>
  <c r="T13" i="18"/>
  <c r="G38" i="24"/>
  <c r="D38" i="24"/>
  <c r="M38" i="18"/>
  <c r="D53" i="34" s="1"/>
  <c r="F38" i="18"/>
  <c r="F39" i="18"/>
  <c r="F40" i="18"/>
  <c r="F41" i="18"/>
  <c r="F42" i="18"/>
  <c r="F43" i="18"/>
  <c r="F44" i="18"/>
  <c r="F45" i="18"/>
  <c r="F46" i="18"/>
  <c r="F47" i="18"/>
  <c r="F49" i="18"/>
  <c r="F50" i="18"/>
  <c r="F51" i="18"/>
  <c r="E38" i="18"/>
  <c r="C54" i="34" s="1"/>
  <c r="E40" i="18"/>
  <c r="G54" i="34" s="1"/>
  <c r="E39" i="18"/>
  <c r="E54" i="34" s="1"/>
  <c r="E45" i="18"/>
  <c r="E43" i="18"/>
  <c r="E41" i="18"/>
  <c r="E42" i="18"/>
  <c r="E44" i="18"/>
  <c r="E46" i="18"/>
  <c r="E47" i="18"/>
  <c r="E49" i="18"/>
  <c r="E50" i="18"/>
  <c r="E51" i="18"/>
  <c r="C38" i="18"/>
  <c r="C39" i="18"/>
  <c r="C40" i="18"/>
  <c r="C41" i="18"/>
  <c r="C42" i="18"/>
  <c r="C43" i="18"/>
  <c r="C44" i="18"/>
  <c r="C45" i="18"/>
  <c r="C46" i="18"/>
  <c r="C47" i="18"/>
  <c r="C49" i="18"/>
  <c r="C50" i="18"/>
  <c r="C51" i="18"/>
  <c r="B21" i="24"/>
  <c r="E5" i="24"/>
  <c r="D5" i="18"/>
  <c r="D5" i="33"/>
  <c r="D6" i="3"/>
  <c r="M26" i="33"/>
  <c r="O26" i="33" s="1"/>
  <c r="A26" i="33" s="1"/>
  <c r="M25" i="33"/>
  <c r="O25" i="33" s="1"/>
  <c r="A25" i="33" s="1"/>
  <c r="M24" i="33"/>
  <c r="O24" i="33" s="1"/>
  <c r="A24" i="33" s="1"/>
  <c r="M23" i="33"/>
  <c r="O23" i="33"/>
  <c r="A23" i="33" s="1"/>
  <c r="M22" i="33"/>
  <c r="O22" i="33" s="1"/>
  <c r="A22" i="33" s="1"/>
  <c r="M21" i="33"/>
  <c r="O21" i="33" s="1"/>
  <c r="A21" i="33" s="1"/>
  <c r="M20" i="33"/>
  <c r="O20" i="33"/>
  <c r="A20" i="33"/>
  <c r="M19" i="33"/>
  <c r="O19" i="33"/>
  <c r="A19" i="33"/>
  <c r="M18" i="33"/>
  <c r="O18" i="33" s="1"/>
  <c r="A18" i="33" s="1"/>
  <c r="M17" i="33"/>
  <c r="O17" i="33" s="1"/>
  <c r="A17" i="33" s="1"/>
  <c r="M14" i="33"/>
  <c r="O14" i="33" s="1"/>
  <c r="M13" i="33"/>
  <c r="O13" i="33" s="1"/>
  <c r="M26" i="3"/>
  <c r="M14" i="3"/>
  <c r="E13" i="21"/>
  <c r="E9" i="21"/>
  <c r="B4" i="21"/>
  <c r="B5" i="21"/>
  <c r="B38" i="24"/>
  <c r="N18" i="24"/>
  <c r="O18" i="24" s="1"/>
  <c r="M20" i="3"/>
  <c r="W35" i="29"/>
  <c r="AD35" i="29"/>
  <c r="AC35" i="29"/>
  <c r="AB35" i="29"/>
  <c r="AA35" i="29"/>
  <c r="AA6" i="29"/>
  <c r="Z35" i="29"/>
  <c r="Y35" i="29"/>
  <c r="X35" i="29"/>
  <c r="X6" i="29"/>
  <c r="AD35" i="6"/>
  <c r="AC35" i="6"/>
  <c r="AB35" i="6"/>
  <c r="AA35" i="6"/>
  <c r="Z35" i="6"/>
  <c r="Y35" i="6"/>
  <c r="X35" i="6"/>
  <c r="W35" i="6"/>
  <c r="Y6" i="6"/>
  <c r="W6" i="6"/>
  <c r="Z6" i="6"/>
  <c r="Y6" i="29"/>
  <c r="AD6" i="29"/>
  <c r="Z6" i="29"/>
  <c r="AC6" i="6"/>
  <c r="AB6" i="6"/>
  <c r="AA6" i="6"/>
  <c r="B15" i="24"/>
  <c r="B16" i="24"/>
  <c r="B17" i="24"/>
  <c r="B18" i="24"/>
  <c r="B14" i="24"/>
  <c r="B13" i="24"/>
  <c r="B28" i="24"/>
  <c r="B22" i="24"/>
  <c r="AD6" i="6"/>
  <c r="AB6" i="29"/>
  <c r="W6" i="29"/>
  <c r="B18" i="6"/>
  <c r="B12" i="6"/>
  <c r="B42" i="6"/>
  <c r="X6" i="6"/>
  <c r="AC6" i="29"/>
  <c r="I43" i="6"/>
  <c r="I42" i="6"/>
  <c r="H47" i="6"/>
  <c r="G46" i="6"/>
  <c r="K44" i="6"/>
  <c r="H44" i="6"/>
  <c r="F42" i="6"/>
  <c r="J43" i="6"/>
  <c r="J42" i="6"/>
  <c r="K43" i="6"/>
  <c r="K42" i="6"/>
  <c r="N43" i="6"/>
  <c r="N42" i="6"/>
  <c r="M43" i="6"/>
  <c r="M42" i="6"/>
  <c r="O43" i="6"/>
  <c r="O42" i="6"/>
  <c r="G47" i="6"/>
  <c r="L43" i="6"/>
  <c r="L42" i="6"/>
  <c r="H46" i="6"/>
  <c r="E42" i="6"/>
  <c r="H43" i="6"/>
  <c r="H42" i="6"/>
  <c r="G44" i="6"/>
  <c r="N44" i="6"/>
  <c r="L44" i="6"/>
  <c r="G43" i="6"/>
  <c r="G42" i="6"/>
  <c r="P42" i="6"/>
  <c r="G45" i="6"/>
  <c r="D42" i="6"/>
  <c r="O44" i="6"/>
  <c r="M44" i="6"/>
  <c r="C42" i="6"/>
  <c r="J44" i="6"/>
  <c r="I44" i="6"/>
  <c r="H45" i="6"/>
  <c r="H16" i="6"/>
  <c r="N14" i="6"/>
  <c r="E12" i="6"/>
  <c r="C12" i="6"/>
  <c r="K13" i="6"/>
  <c r="K12" i="6"/>
  <c r="M13" i="6"/>
  <c r="M12" i="6"/>
  <c r="L13" i="6"/>
  <c r="L12" i="6"/>
  <c r="G15" i="6"/>
  <c r="L14" i="6"/>
  <c r="K14" i="6"/>
  <c r="J14" i="6"/>
  <c r="D12" i="6"/>
  <c r="H17" i="6"/>
  <c r="H14" i="6"/>
  <c r="O14" i="6"/>
  <c r="I13" i="6"/>
  <c r="I12" i="6"/>
  <c r="H13" i="6"/>
  <c r="H12" i="6"/>
  <c r="G16" i="6"/>
  <c r="H15" i="6"/>
  <c r="M14" i="6"/>
  <c r="N13" i="6"/>
  <c r="N12" i="6"/>
  <c r="F12" i="6"/>
  <c r="J13" i="6"/>
  <c r="J12" i="6"/>
  <c r="O13" i="6"/>
  <c r="O12" i="6"/>
  <c r="G13" i="6"/>
  <c r="G12" i="6"/>
  <c r="P12" i="6"/>
  <c r="G14" i="6"/>
  <c r="I14" i="6"/>
  <c r="G17" i="6"/>
  <c r="K20" i="6"/>
  <c r="C18" i="6"/>
  <c r="L19" i="6"/>
  <c r="L18" i="6"/>
  <c r="E18" i="6"/>
  <c r="I19" i="6"/>
  <c r="I18" i="6"/>
  <c r="H21" i="6"/>
  <c r="G23" i="6"/>
  <c r="K19" i="6"/>
  <c r="K18" i="6"/>
  <c r="H22" i="6"/>
  <c r="H19" i="6"/>
  <c r="H18" i="6"/>
  <c r="G19" i="6"/>
  <c r="G18" i="6"/>
  <c r="L20" i="6"/>
  <c r="M20" i="6"/>
  <c r="I20" i="6"/>
  <c r="G22" i="6"/>
  <c r="O20" i="6"/>
  <c r="G20" i="6"/>
  <c r="F18" i="6"/>
  <c r="H23" i="6"/>
  <c r="N19" i="6"/>
  <c r="N18" i="6"/>
  <c r="O19" i="6"/>
  <c r="O18" i="6"/>
  <c r="H20" i="6"/>
  <c r="D18" i="6"/>
  <c r="J19" i="6"/>
  <c r="J18" i="6"/>
  <c r="N20" i="6"/>
  <c r="G21" i="6"/>
  <c r="J20" i="6"/>
  <c r="M19" i="6"/>
  <c r="M18" i="6"/>
  <c r="B36" i="6"/>
  <c r="B24" i="6"/>
  <c r="B6" i="6"/>
  <c r="B48" i="6"/>
  <c r="B30" i="6"/>
  <c r="B18" i="29"/>
  <c r="B42" i="29"/>
  <c r="B12" i="29"/>
  <c r="B6" i="29"/>
  <c r="B30" i="29"/>
  <c r="B24" i="29"/>
  <c r="B36" i="29"/>
  <c r="B48" i="29"/>
  <c r="J13" i="29"/>
  <c r="J12" i="29"/>
  <c r="L14" i="29"/>
  <c r="O14" i="29"/>
  <c r="N14" i="29"/>
  <c r="J14" i="29"/>
  <c r="D12" i="29"/>
  <c r="M14" i="29"/>
  <c r="N13" i="29"/>
  <c r="N12" i="29"/>
  <c r="G13" i="29"/>
  <c r="G12" i="29"/>
  <c r="G14" i="29"/>
  <c r="F12" i="29"/>
  <c r="H15" i="29"/>
  <c r="L13" i="29"/>
  <c r="L12" i="29"/>
  <c r="G16" i="29"/>
  <c r="H16" i="29"/>
  <c r="H17" i="29"/>
  <c r="K14" i="29"/>
  <c r="O13" i="29"/>
  <c r="O12" i="29"/>
  <c r="M13" i="29"/>
  <c r="M12" i="29"/>
  <c r="I13" i="29"/>
  <c r="I12" i="29"/>
  <c r="K13" i="29"/>
  <c r="K12" i="29"/>
  <c r="G17" i="29"/>
  <c r="E12" i="29"/>
  <c r="H13" i="29"/>
  <c r="H12" i="29"/>
  <c r="I14" i="29"/>
  <c r="G15" i="29"/>
  <c r="H14" i="29"/>
  <c r="C12" i="29"/>
  <c r="G53" i="6"/>
  <c r="K49" i="6"/>
  <c r="K48" i="6"/>
  <c r="J50" i="6"/>
  <c r="E48" i="6"/>
  <c r="M50" i="6"/>
  <c r="G49" i="6"/>
  <c r="G48" i="6"/>
  <c r="I50" i="6"/>
  <c r="H50" i="6"/>
  <c r="K50" i="6"/>
  <c r="G51" i="6"/>
  <c r="H52" i="6"/>
  <c r="L49" i="6"/>
  <c r="L48" i="6"/>
  <c r="J49" i="6"/>
  <c r="J48" i="6"/>
  <c r="G52" i="6"/>
  <c r="G50" i="6"/>
  <c r="D48" i="6"/>
  <c r="H49" i="6"/>
  <c r="H48" i="6"/>
  <c r="O50" i="6"/>
  <c r="C48" i="6"/>
  <c r="I49" i="6"/>
  <c r="I48" i="6"/>
  <c r="O49" i="6"/>
  <c r="O48" i="6"/>
  <c r="N50" i="6"/>
  <c r="F48" i="6"/>
  <c r="M49" i="6"/>
  <c r="M48" i="6"/>
  <c r="H51" i="6"/>
  <c r="L50" i="6"/>
  <c r="H53" i="6"/>
  <c r="N49" i="6"/>
  <c r="N48" i="6"/>
  <c r="G41" i="29"/>
  <c r="H39" i="29"/>
  <c r="L38" i="29"/>
  <c r="N37" i="29"/>
  <c r="N36" i="29"/>
  <c r="I38" i="29"/>
  <c r="M37" i="29"/>
  <c r="M36" i="29"/>
  <c r="O37" i="29"/>
  <c r="O36" i="29"/>
  <c r="N38" i="29"/>
  <c r="K38" i="29"/>
  <c r="G37" i="29"/>
  <c r="G36" i="29"/>
  <c r="H38" i="29"/>
  <c r="D36" i="29"/>
  <c r="I37" i="29"/>
  <c r="I36" i="29"/>
  <c r="H41" i="29"/>
  <c r="L37" i="29"/>
  <c r="L36" i="29"/>
  <c r="C36" i="29"/>
  <c r="H40" i="29"/>
  <c r="M38" i="29"/>
  <c r="J38" i="29"/>
  <c r="O38" i="29"/>
  <c r="G38" i="29"/>
  <c r="J37" i="29"/>
  <c r="J36" i="29"/>
  <c r="E36" i="29"/>
  <c r="H37" i="29"/>
  <c r="H36" i="29"/>
  <c r="F36" i="29"/>
  <c r="G40" i="29"/>
  <c r="G39" i="29"/>
  <c r="K37" i="29"/>
  <c r="K36" i="29"/>
  <c r="I26" i="29"/>
  <c r="F24" i="29"/>
  <c r="N26" i="29"/>
  <c r="G26" i="29"/>
  <c r="K25" i="29"/>
  <c r="K24" i="29"/>
  <c r="H25" i="29"/>
  <c r="H24" i="29"/>
  <c r="M25" i="29"/>
  <c r="M24" i="29"/>
  <c r="G25" i="29"/>
  <c r="G24" i="29"/>
  <c r="H27" i="29"/>
  <c r="O26" i="29"/>
  <c r="D24" i="29"/>
  <c r="K26" i="29"/>
  <c r="M26" i="29"/>
  <c r="G27" i="29"/>
  <c r="J26" i="29"/>
  <c r="G29" i="29"/>
  <c r="N25" i="29"/>
  <c r="N24" i="29"/>
  <c r="E24" i="29"/>
  <c r="J25" i="29"/>
  <c r="J24" i="29"/>
  <c r="H29" i="29"/>
  <c r="G28" i="29"/>
  <c r="L26" i="29"/>
  <c r="H26" i="29"/>
  <c r="L25" i="29"/>
  <c r="L24" i="29"/>
  <c r="O25" i="29"/>
  <c r="O24" i="29"/>
  <c r="C24" i="29"/>
  <c r="I25" i="29"/>
  <c r="I24" i="29"/>
  <c r="H28" i="29"/>
  <c r="N43" i="29"/>
  <c r="N42" i="29"/>
  <c r="K43" i="29"/>
  <c r="K42" i="29"/>
  <c r="N44" i="29"/>
  <c r="H44" i="29"/>
  <c r="L43" i="29"/>
  <c r="L42" i="29"/>
  <c r="M43" i="29"/>
  <c r="M42" i="29"/>
  <c r="O43" i="29"/>
  <c r="O42" i="29"/>
  <c r="I44" i="29"/>
  <c r="G44" i="29"/>
  <c r="H47" i="29"/>
  <c r="J43" i="29"/>
  <c r="J42" i="29"/>
  <c r="C42" i="29"/>
  <c r="E42" i="29"/>
  <c r="G47" i="29"/>
  <c r="K44" i="29"/>
  <c r="H45" i="29"/>
  <c r="G43" i="29"/>
  <c r="G42" i="29"/>
  <c r="D42" i="29"/>
  <c r="J44" i="29"/>
  <c r="M44" i="29"/>
  <c r="O44" i="29"/>
  <c r="H46" i="29"/>
  <c r="H43" i="29"/>
  <c r="H42" i="29"/>
  <c r="F42" i="29"/>
  <c r="I43" i="29"/>
  <c r="I42" i="29"/>
  <c r="G46" i="29"/>
  <c r="G45" i="29"/>
  <c r="L44" i="29"/>
  <c r="E6" i="6"/>
  <c r="H9" i="6"/>
  <c r="G10" i="6"/>
  <c r="H8" i="6"/>
  <c r="G9" i="6"/>
  <c r="C6" i="6"/>
  <c r="O8" i="6"/>
  <c r="G8" i="6"/>
  <c r="O7" i="6"/>
  <c r="O6" i="6"/>
  <c r="H7" i="6"/>
  <c r="H6" i="6"/>
  <c r="D6" i="6"/>
  <c r="H11" i="6"/>
  <c r="N7" i="6"/>
  <c r="N6" i="6"/>
  <c r="J7" i="6"/>
  <c r="J6" i="6"/>
  <c r="J8" i="6"/>
  <c r="K7" i="6"/>
  <c r="K6" i="6"/>
  <c r="I8" i="6"/>
  <c r="M7" i="6"/>
  <c r="M6" i="6"/>
  <c r="L8" i="6"/>
  <c r="M8" i="6"/>
  <c r="K8" i="6"/>
  <c r="F6" i="6"/>
  <c r="G7" i="6"/>
  <c r="G6" i="6"/>
  <c r="I7" i="6"/>
  <c r="I6" i="6"/>
  <c r="G11" i="6"/>
  <c r="H10" i="6"/>
  <c r="N8" i="6"/>
  <c r="L7" i="6"/>
  <c r="L6" i="6"/>
  <c r="P18" i="6"/>
  <c r="G50" i="29"/>
  <c r="I50" i="29"/>
  <c r="F48" i="29"/>
  <c r="E48" i="29"/>
  <c r="H52" i="29"/>
  <c r="C48" i="29"/>
  <c r="K50" i="29"/>
  <c r="J50" i="29"/>
  <c r="G53" i="29"/>
  <c r="N49" i="29"/>
  <c r="N48" i="29"/>
  <c r="J49" i="29"/>
  <c r="J48" i="29"/>
  <c r="G52" i="29"/>
  <c r="L50" i="29"/>
  <c r="H49" i="29"/>
  <c r="H48" i="29"/>
  <c r="I49" i="29"/>
  <c r="I48" i="29"/>
  <c r="M49" i="29"/>
  <c r="M48" i="29"/>
  <c r="G49" i="29"/>
  <c r="G48" i="29"/>
  <c r="O49" i="29"/>
  <c r="O48" i="29"/>
  <c r="N50" i="29"/>
  <c r="G51" i="29"/>
  <c r="H50" i="29"/>
  <c r="D48" i="29"/>
  <c r="H53" i="29"/>
  <c r="O50" i="29"/>
  <c r="H51" i="29"/>
  <c r="K49" i="29"/>
  <c r="K48" i="29"/>
  <c r="M50" i="29"/>
  <c r="L49" i="29"/>
  <c r="L48" i="29"/>
  <c r="I32" i="29"/>
  <c r="L31" i="29"/>
  <c r="L30" i="29"/>
  <c r="M31" i="29"/>
  <c r="M30" i="29"/>
  <c r="G35" i="29"/>
  <c r="G34" i="29"/>
  <c r="H32" i="29"/>
  <c r="H35" i="29"/>
  <c r="G31" i="29"/>
  <c r="G30" i="29"/>
  <c r="H31" i="29"/>
  <c r="H30" i="29"/>
  <c r="M32" i="29"/>
  <c r="H33" i="29"/>
  <c r="K31" i="29"/>
  <c r="K30" i="29"/>
  <c r="J31" i="29"/>
  <c r="J30" i="29"/>
  <c r="G33" i="29"/>
  <c r="O31" i="29"/>
  <c r="O30" i="29"/>
  <c r="L32" i="29"/>
  <c r="N31" i="29"/>
  <c r="N30" i="29"/>
  <c r="D30" i="29"/>
  <c r="C30" i="29"/>
  <c r="E30" i="29"/>
  <c r="I31" i="29"/>
  <c r="I30" i="29"/>
  <c r="F30" i="29"/>
  <c r="K32" i="29"/>
  <c r="H34" i="29"/>
  <c r="J32" i="29"/>
  <c r="N32" i="29"/>
  <c r="G32" i="29"/>
  <c r="O32" i="29"/>
  <c r="E18" i="29"/>
  <c r="H20" i="29"/>
  <c r="G19" i="29"/>
  <c r="G18" i="29"/>
  <c r="M20" i="29"/>
  <c r="N19" i="29"/>
  <c r="N18" i="29"/>
  <c r="K20" i="29"/>
  <c r="H21" i="29"/>
  <c r="I19" i="29"/>
  <c r="I18" i="29"/>
  <c r="D18" i="29"/>
  <c r="N20" i="29"/>
  <c r="G22" i="29"/>
  <c r="G20" i="29"/>
  <c r="L19" i="29"/>
  <c r="L18" i="29"/>
  <c r="G23" i="29"/>
  <c r="O19" i="29"/>
  <c r="O18" i="29"/>
  <c r="J20" i="29"/>
  <c r="O20" i="29"/>
  <c r="F18" i="29"/>
  <c r="C18" i="29"/>
  <c r="H19" i="29"/>
  <c r="H18" i="29"/>
  <c r="K19" i="29"/>
  <c r="K18" i="29"/>
  <c r="H23" i="29"/>
  <c r="M19" i="29"/>
  <c r="M18" i="29"/>
  <c r="H22" i="29"/>
  <c r="J19" i="29"/>
  <c r="J18" i="29"/>
  <c r="I20" i="29"/>
  <c r="L20" i="29"/>
  <c r="G21" i="29"/>
  <c r="H29" i="6"/>
  <c r="O26" i="6"/>
  <c r="G28" i="6"/>
  <c r="F24" i="6"/>
  <c r="M25" i="6"/>
  <c r="M24" i="6"/>
  <c r="G25" i="6"/>
  <c r="G24" i="6"/>
  <c r="C24" i="6"/>
  <c r="I26" i="6"/>
  <c r="J25" i="6"/>
  <c r="J24" i="6"/>
  <c r="D24" i="6"/>
  <c r="J26" i="6"/>
  <c r="I25" i="6"/>
  <c r="I24" i="6"/>
  <c r="K25" i="6"/>
  <c r="K24" i="6"/>
  <c r="M26" i="6"/>
  <c r="H27" i="6"/>
  <c r="G26" i="6"/>
  <c r="K26" i="6"/>
  <c r="E24" i="6"/>
  <c r="L25" i="6"/>
  <c r="L24" i="6"/>
  <c r="H26" i="6"/>
  <c r="L26" i="6"/>
  <c r="G29" i="6"/>
  <c r="N26" i="6"/>
  <c r="O25" i="6"/>
  <c r="O24" i="6"/>
  <c r="H28" i="6"/>
  <c r="N25" i="6"/>
  <c r="N24" i="6"/>
  <c r="H25" i="6"/>
  <c r="H24" i="6"/>
  <c r="G27" i="6"/>
  <c r="H8" i="29"/>
  <c r="H9" i="29"/>
  <c r="G8" i="29"/>
  <c r="N7" i="29"/>
  <c r="N6" i="29"/>
  <c r="H11" i="29"/>
  <c r="I8" i="29"/>
  <c r="O7" i="29"/>
  <c r="O6" i="29"/>
  <c r="O8" i="29"/>
  <c r="G10" i="29"/>
  <c r="K8" i="29"/>
  <c r="J7" i="29"/>
  <c r="J6" i="29"/>
  <c r="L8" i="29"/>
  <c r="C6" i="29"/>
  <c r="L7" i="29"/>
  <c r="L6" i="29"/>
  <c r="H7" i="29"/>
  <c r="H6" i="29"/>
  <c r="J8" i="29"/>
  <c r="D6" i="29"/>
  <c r="G7" i="29"/>
  <c r="G6" i="29"/>
  <c r="G9" i="29"/>
  <c r="K7" i="29"/>
  <c r="K6" i="29"/>
  <c r="N8" i="29"/>
  <c r="G11" i="29"/>
  <c r="M7" i="29"/>
  <c r="M6" i="29"/>
  <c r="F6" i="29"/>
  <c r="E6" i="29"/>
  <c r="M8" i="29"/>
  <c r="H10" i="29"/>
  <c r="I7" i="29"/>
  <c r="I6" i="29"/>
  <c r="L31" i="6"/>
  <c r="L30" i="6"/>
  <c r="N32" i="6"/>
  <c r="O32" i="6"/>
  <c r="N31" i="6"/>
  <c r="N30" i="6"/>
  <c r="G31" i="6"/>
  <c r="G30" i="6"/>
  <c r="H33" i="6"/>
  <c r="G34" i="6"/>
  <c r="K31" i="6"/>
  <c r="K30" i="6"/>
  <c r="G33" i="6"/>
  <c r="K32" i="6"/>
  <c r="I32" i="6"/>
  <c r="H35" i="6"/>
  <c r="M32" i="6"/>
  <c r="E30" i="6"/>
  <c r="I31" i="6"/>
  <c r="I30" i="6"/>
  <c r="G32" i="6"/>
  <c r="D30" i="6"/>
  <c r="L32" i="6"/>
  <c r="H31" i="6"/>
  <c r="H30" i="6"/>
  <c r="O31" i="6"/>
  <c r="O30" i="6"/>
  <c r="H34" i="6"/>
  <c r="J32" i="6"/>
  <c r="G35" i="6"/>
  <c r="H32" i="6"/>
  <c r="M31" i="6"/>
  <c r="M30" i="6"/>
  <c r="J31" i="6"/>
  <c r="J30" i="6"/>
  <c r="F30" i="6"/>
  <c r="C30" i="6"/>
  <c r="C36" i="6"/>
  <c r="K38" i="6"/>
  <c r="I37" i="6"/>
  <c r="I36" i="6"/>
  <c r="G37" i="6"/>
  <c r="G36" i="6"/>
  <c r="L38" i="6"/>
  <c r="O37" i="6"/>
  <c r="O36" i="6"/>
  <c r="H37" i="6"/>
  <c r="H36" i="6"/>
  <c r="N38" i="6"/>
  <c r="K37" i="6"/>
  <c r="K36" i="6"/>
  <c r="I38" i="6"/>
  <c r="M38" i="6"/>
  <c r="G39" i="6"/>
  <c r="L37" i="6"/>
  <c r="L36" i="6"/>
  <c r="H39" i="6"/>
  <c r="N37" i="6"/>
  <c r="N36" i="6"/>
  <c r="G41" i="6"/>
  <c r="J37" i="6"/>
  <c r="J36" i="6"/>
  <c r="O38" i="6"/>
  <c r="H38" i="6"/>
  <c r="M37" i="6"/>
  <c r="M36" i="6"/>
  <c r="G38" i="6"/>
  <c r="J38" i="6"/>
  <c r="G40" i="6"/>
  <c r="H41" i="6"/>
  <c r="D36" i="6"/>
  <c r="F36" i="6"/>
  <c r="E36" i="6"/>
  <c r="H40" i="6"/>
  <c r="Q18" i="6"/>
  <c r="P6" i="29"/>
  <c r="P24" i="6"/>
  <c r="P6" i="6"/>
  <c r="Q12" i="6"/>
  <c r="P30" i="6"/>
  <c r="P48" i="29"/>
  <c r="P36" i="29"/>
  <c r="P36" i="6"/>
  <c r="Q42" i="6"/>
  <c r="P30" i="29"/>
  <c r="Q36" i="29"/>
  <c r="Q24" i="6"/>
  <c r="P42" i="29"/>
  <c r="Q48" i="29"/>
  <c r="P48" i="6"/>
  <c r="Q48" i="6"/>
  <c r="P18" i="29"/>
  <c r="Q24" i="29"/>
  <c r="P24" i="29"/>
  <c r="Q30" i="29"/>
  <c r="P12" i="29"/>
  <c r="Q18" i="29"/>
  <c r="Q36" i="6"/>
  <c r="Q42" i="29"/>
  <c r="Q30" i="6"/>
  <c r="Q12" i="29"/>
  <c r="F48" i="18"/>
  <c r="C48" i="18"/>
  <c r="E48" i="18"/>
  <c r="O13" i="24" l="1"/>
  <c r="E32" i="5"/>
  <c r="E36" i="5"/>
  <c r="F36" i="5" s="1"/>
  <c r="C35" i="5"/>
  <c r="D35" i="5" s="1"/>
  <c r="I35" i="5" s="1"/>
  <c r="J35" i="5" s="1"/>
  <c r="E33" i="5"/>
  <c r="E35" i="5"/>
  <c r="F35" i="5" s="1"/>
  <c r="E34" i="5"/>
  <c r="C32" i="5"/>
  <c r="C36" i="5"/>
  <c r="D36" i="5" s="1"/>
  <c r="I36" i="5" s="1"/>
  <c r="J36" i="5" s="1"/>
  <c r="C34" i="5"/>
  <c r="C33" i="5"/>
  <c r="J28" i="5"/>
  <c r="J27" i="5"/>
  <c r="E28" i="5"/>
  <c r="C26" i="5"/>
  <c r="E26" i="5"/>
  <c r="G28" i="5"/>
  <c r="G26" i="5"/>
  <c r="G27" i="5"/>
  <c r="E27" i="5"/>
  <c r="G18" i="5"/>
  <c r="E18" i="5"/>
  <c r="C19" i="5"/>
  <c r="G17" i="5"/>
  <c r="G20" i="5"/>
  <c r="H20" i="5" s="1"/>
  <c r="C21" i="5"/>
  <c r="D21" i="5" s="1"/>
  <c r="I21" i="5" s="1"/>
  <c r="J21" i="5" s="1"/>
  <c r="C17" i="5"/>
  <c r="G21" i="5"/>
  <c r="H21" i="5" s="1"/>
  <c r="C18" i="5"/>
  <c r="G19" i="5"/>
  <c r="E19" i="5"/>
  <c r="C20" i="5"/>
  <c r="D20" i="5" s="1"/>
  <c r="I20" i="5" s="1"/>
  <c r="J20" i="5" s="1"/>
  <c r="E17" i="5"/>
  <c r="E20" i="5"/>
  <c r="F20" i="5" s="1"/>
  <c r="E21" i="5"/>
  <c r="F21" i="5" s="1"/>
  <c r="O14" i="3"/>
  <c r="D7" i="34"/>
  <c r="H7" i="34"/>
  <c r="F7" i="34"/>
  <c r="O20" i="3"/>
  <c r="O29" i="3"/>
  <c r="F8" i="5"/>
  <c r="O27" i="3"/>
  <c r="F9" i="34"/>
  <c r="O26" i="3"/>
  <c r="D9" i="34"/>
  <c r="H8" i="5"/>
  <c r="O28" i="3"/>
  <c r="D8" i="5"/>
  <c r="I8" i="5" s="1"/>
  <c r="O15" i="24"/>
  <c r="O14" i="24"/>
  <c r="O38" i="24"/>
  <c r="N25" i="18"/>
  <c r="X30" i="3" a="1"/>
  <c r="X30" i="3" s="1"/>
  <c r="X20" i="3" a="1"/>
  <c r="X20" i="3" s="1"/>
  <c r="X19" i="3" a="1"/>
  <c r="X19" i="3" s="1"/>
  <c r="X15" i="3" a="1"/>
  <c r="X15" i="3" s="1"/>
  <c r="N43" i="18"/>
  <c r="N48" i="18"/>
  <c r="N49" i="18"/>
  <c r="N47" i="18"/>
  <c r="N46" i="18"/>
  <c r="N40" i="18"/>
  <c r="N42" i="18"/>
  <c r="N44" i="18"/>
  <c r="N39" i="18"/>
  <c r="N50" i="18"/>
  <c r="N16" i="18"/>
  <c r="N41" i="18"/>
  <c r="N45" i="18"/>
  <c r="N51" i="18"/>
  <c r="N29" i="18"/>
  <c r="N38" i="18"/>
  <c r="N18" i="18"/>
  <c r="N21" i="18"/>
  <c r="N31" i="18"/>
  <c r="N14" i="18"/>
  <c r="N28" i="18"/>
  <c r="N23" i="18"/>
  <c r="N19" i="18"/>
  <c r="N15" i="18"/>
  <c r="N17" i="18"/>
  <c r="N20" i="18"/>
  <c r="N22" i="18"/>
  <c r="N26" i="18"/>
  <c r="N30" i="18"/>
  <c r="N32" i="18"/>
  <c r="N27" i="18"/>
  <c r="N13" i="18"/>
  <c r="N24" i="18"/>
  <c r="D33" i="5" l="1"/>
  <c r="I33" i="5" s="1"/>
  <c r="F58" i="34"/>
  <c r="F34" i="5"/>
  <c r="H59" i="34"/>
  <c r="F33" i="5"/>
  <c r="F59" i="34"/>
  <c r="D32" i="5"/>
  <c r="I32" i="5" s="1"/>
  <c r="D58" i="34"/>
  <c r="D34" i="5"/>
  <c r="I34" i="5" s="1"/>
  <c r="H58" i="34"/>
  <c r="F32" i="5"/>
  <c r="D59" i="34"/>
  <c r="F27" i="5"/>
  <c r="F46" i="34"/>
  <c r="F47" i="34"/>
  <c r="H27" i="5"/>
  <c r="H26" i="5"/>
  <c r="D47" i="34"/>
  <c r="F28" i="5"/>
  <c r="H46" i="34"/>
  <c r="D46" i="34"/>
  <c r="F26" i="5"/>
  <c r="D26" i="5"/>
  <c r="I26" i="5" s="1"/>
  <c r="D45" i="34"/>
  <c r="H47" i="34"/>
  <c r="H28" i="5"/>
  <c r="D44" i="34"/>
  <c r="H17" i="5"/>
  <c r="H43" i="34"/>
  <c r="F19" i="5"/>
  <c r="D17" i="5"/>
  <c r="I17" i="5" s="1"/>
  <c r="D42" i="34"/>
  <c r="H42" i="34"/>
  <c r="D19" i="5"/>
  <c r="I19" i="5" s="1"/>
  <c r="H44" i="34"/>
  <c r="H19" i="5"/>
  <c r="F43" i="34"/>
  <c r="F18" i="5"/>
  <c r="F17" i="5"/>
  <c r="D43" i="34"/>
  <c r="F42" i="34"/>
  <c r="D18" i="5"/>
  <c r="I18" i="5" s="1"/>
  <c r="F44" i="34"/>
  <c r="H18" i="5"/>
  <c r="J8" i="5"/>
  <c r="C19" i="34" a="1"/>
  <c r="C19" i="34" s="1"/>
  <c r="D4" i="5"/>
  <c r="I4" i="5" s="1"/>
  <c r="E7" i="34"/>
  <c r="C15" i="3"/>
  <c r="E15" i="3"/>
  <c r="E8" i="34" s="1"/>
  <c r="F15" i="3"/>
  <c r="C16" i="3"/>
  <c r="E16" i="3"/>
  <c r="F16" i="3"/>
  <c r="C8" i="34"/>
  <c r="C18" i="3"/>
  <c r="E18" i="3"/>
  <c r="F18" i="3"/>
  <c r="C20" i="3"/>
  <c r="E20" i="3"/>
  <c r="F20" i="3"/>
  <c r="C17" i="3"/>
  <c r="E17" i="3"/>
  <c r="F17" i="3"/>
  <c r="C19" i="3"/>
  <c r="F19" i="3"/>
  <c r="G7" i="34"/>
  <c r="E19" i="3"/>
  <c r="G8" i="34" s="1"/>
  <c r="H4" i="5"/>
  <c r="C7" i="34"/>
  <c r="C14" i="3"/>
  <c r="F14" i="3"/>
  <c r="E14" i="3"/>
  <c r="F4" i="5"/>
  <c r="J32" i="5" l="1"/>
  <c r="C59" i="34"/>
  <c r="G59" i="34"/>
  <c r="J34" i="5"/>
  <c r="E59" i="34"/>
  <c r="J33" i="5"/>
  <c r="J26" i="5"/>
  <c r="C47" i="34"/>
  <c r="J18" i="5"/>
  <c r="E44" i="34"/>
  <c r="G44" i="34"/>
  <c r="J19" i="5"/>
  <c r="J17" i="5"/>
  <c r="C44" i="34"/>
  <c r="J4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<sst xmlns="http://schemas.openxmlformats.org/spreadsheetml/2006/main" count="884" uniqueCount="341">
  <si>
    <t>射座</t>
    <rPh sb="0" eb="1">
      <t>シャ</t>
    </rPh>
    <rPh sb="1" eb="2">
      <t>ザ</t>
    </rPh>
    <phoneticPr fontId="1"/>
  </si>
  <si>
    <t>氏　　名</t>
    <rPh sb="0" eb="1">
      <t>シ</t>
    </rPh>
    <rPh sb="3" eb="4">
      <t>メイ</t>
    </rPh>
    <phoneticPr fontId="1"/>
  </si>
  <si>
    <t>学　校</t>
    <rPh sb="0" eb="1">
      <t>ガク</t>
    </rPh>
    <rPh sb="2" eb="3">
      <t>コウ</t>
    </rPh>
    <phoneticPr fontId="1"/>
  </si>
  <si>
    <t>合　計</t>
    <rPh sb="0" eb="1">
      <t>ゴウ</t>
    </rPh>
    <rPh sb="2" eb="3">
      <t>ケイ</t>
    </rPh>
    <phoneticPr fontId="1"/>
  </si>
  <si>
    <t>順位</t>
    <rPh sb="0" eb="2">
      <t>ジュンイ</t>
    </rPh>
    <phoneticPr fontId="1"/>
  </si>
  <si>
    <t>合計点</t>
    <rPh sb="0" eb="3">
      <t>ゴウケイテン</t>
    </rPh>
    <phoneticPr fontId="1"/>
  </si>
  <si>
    <t>チーム名</t>
    <rPh sb="3" eb="4">
      <t>メイ</t>
    </rPh>
    <phoneticPr fontId="1"/>
  </si>
  <si>
    <t>得　点</t>
    <rPh sb="0" eb="1">
      <t>トク</t>
    </rPh>
    <rPh sb="2" eb="3">
      <t>テン</t>
    </rPh>
    <phoneticPr fontId="1"/>
  </si>
  <si>
    <t>合計</t>
    <rPh sb="0" eb="2">
      <t>ゴウケイ</t>
    </rPh>
    <phoneticPr fontId="1"/>
  </si>
  <si>
    <t>女子</t>
    <rPh sb="0" eb="2">
      <t>ジョシ</t>
    </rPh>
    <phoneticPr fontId="1"/>
  </si>
  <si>
    <t>男子</t>
    <rPh sb="0" eb="2">
      <t>ダンシ</t>
    </rPh>
    <phoneticPr fontId="1"/>
  </si>
  <si>
    <t>各位</t>
    <rPh sb="0" eb="2">
      <t>カクイ</t>
    </rPh>
    <phoneticPr fontId="1"/>
  </si>
  <si>
    <t>備考</t>
    <rPh sb="0" eb="2">
      <t>ビコウ</t>
    </rPh>
    <phoneticPr fontId="1"/>
  </si>
  <si>
    <t>連絡先</t>
    <rPh sb="0" eb="3">
      <t>レンラクサキ</t>
    </rPh>
    <phoneticPr fontId="1"/>
  </si>
  <si>
    <t>競技上の注意・連絡</t>
  </si>
  <si>
    <t>競技時間</t>
  </si>
  <si>
    <t>※片づけ</t>
  </si>
  <si>
    <t>表彰式・閉会式</t>
  </si>
  <si>
    <t>この大会は「岐阜県補助事業」です</t>
  </si>
  <si>
    <t>専門部長</t>
  </si>
  <si>
    <t>競技役員</t>
  </si>
  <si>
    <t>渡辺　龍一</t>
  </si>
  <si>
    <t>（済美高等学校）</t>
  </si>
  <si>
    <t>（鶯谷高等学校）</t>
  </si>
  <si>
    <t>（岐阜県ライフル射撃協会）</t>
  </si>
  <si>
    <t>太田　宗吉</t>
  </si>
  <si>
    <t>　　（総務）</t>
  </si>
  <si>
    <t>補助員</t>
  </si>
  <si>
    <t>各高等学校射撃部生徒</t>
  </si>
  <si>
    <t>本選</t>
    <rPh sb="0" eb="2">
      <t>ホンセン</t>
    </rPh>
    <phoneticPr fontId="1"/>
  </si>
  <si>
    <t>（大垣日本大学高等学校）</t>
    <rPh sb="1" eb="3">
      <t>オオガキ</t>
    </rPh>
    <rPh sb="3" eb="5">
      <t>ニホン</t>
    </rPh>
    <rPh sb="5" eb="7">
      <t>ダイガク</t>
    </rPh>
    <phoneticPr fontId="1"/>
  </si>
  <si>
    <t>県高体連ライフル射撃専門委員長</t>
    <rPh sb="0" eb="1">
      <t>ケン</t>
    </rPh>
    <rPh sb="1" eb="4">
      <t>コウタイレン</t>
    </rPh>
    <rPh sb="8" eb="10">
      <t>シャゲキ</t>
    </rPh>
    <rPh sb="10" eb="12">
      <t>センモン</t>
    </rPh>
    <rPh sb="12" eb="15">
      <t>イインチョウ</t>
    </rPh>
    <phoneticPr fontId="1"/>
  </si>
  <si>
    <t>※各射群の終了時刻により時間を繰り上げる場合がある</t>
    <rPh sb="1" eb="2">
      <t>カク</t>
    </rPh>
    <rPh sb="2" eb="3">
      <t>シャ</t>
    </rPh>
    <rPh sb="3" eb="4">
      <t>グン</t>
    </rPh>
    <rPh sb="5" eb="7">
      <t>シュウリョウ</t>
    </rPh>
    <rPh sb="7" eb="9">
      <t>ジコク</t>
    </rPh>
    <phoneticPr fontId="1"/>
  </si>
  <si>
    <t>関有知</t>
    <rPh sb="0" eb="1">
      <t>セキ</t>
    </rPh>
    <rPh sb="1" eb="2">
      <t>ウ</t>
    </rPh>
    <rPh sb="2" eb="3">
      <t>チ</t>
    </rPh>
    <phoneticPr fontId="1"/>
  </si>
  <si>
    <t>（M）</t>
    <phoneticPr fontId="1"/>
  </si>
  <si>
    <t>BR　男子団体戦</t>
    <rPh sb="3" eb="5">
      <t>ダンシ</t>
    </rPh>
    <rPh sb="5" eb="8">
      <t>ダンタイセン</t>
    </rPh>
    <phoneticPr fontId="1"/>
  </si>
  <si>
    <t>BR　女子団体戦</t>
    <rPh sb="3" eb="5">
      <t>ジョシ</t>
    </rPh>
    <rPh sb="5" eb="8">
      <t>ダンタイセン</t>
    </rPh>
    <phoneticPr fontId="1"/>
  </si>
  <si>
    <t>松巾　亜由</t>
    <rPh sb="0" eb="1">
      <t>マツ</t>
    </rPh>
    <rPh sb="1" eb="2">
      <t>ハバ</t>
    </rPh>
    <rPh sb="3" eb="5">
      <t>アユ</t>
    </rPh>
    <phoneticPr fontId="1"/>
  </si>
  <si>
    <t>伊藤　幸照</t>
    <rPh sb="0" eb="2">
      <t>イトウ</t>
    </rPh>
    <rPh sb="3" eb="5">
      <t>ユキテル</t>
    </rPh>
    <phoneticPr fontId="1"/>
  </si>
  <si>
    <t>第1射群</t>
    <phoneticPr fontId="1"/>
  </si>
  <si>
    <t>第2射群</t>
    <phoneticPr fontId="1"/>
  </si>
  <si>
    <t>BR・BPの部　日程</t>
    <phoneticPr fontId="1"/>
  </si>
  <si>
    <t>第3射群</t>
    <phoneticPr fontId="1"/>
  </si>
  <si>
    <t>第4射群</t>
    <rPh sb="0" eb="1">
      <t>ダイ</t>
    </rPh>
    <rPh sb="2" eb="3">
      <t>シャ</t>
    </rPh>
    <rPh sb="3" eb="4">
      <t>グン</t>
    </rPh>
    <phoneticPr fontId="1"/>
  </si>
  <si>
    <t>BR・BPの部</t>
    <phoneticPr fontId="1"/>
  </si>
  <si>
    <t>位</t>
    <rPh sb="0" eb="1">
      <t>イ</t>
    </rPh>
    <phoneticPr fontId="1"/>
  </si>
  <si>
    <t>AR（エアライフル）個人</t>
    <rPh sb="10" eb="12">
      <t>コジン</t>
    </rPh>
    <phoneticPr fontId="1"/>
  </si>
  <si>
    <t>BR（ビームライフル）団体</t>
    <rPh sb="11" eb="13">
      <t>ダンタイ</t>
    </rPh>
    <phoneticPr fontId="1"/>
  </si>
  <si>
    <t>BR（ビームライフル）個人</t>
    <rPh sb="11" eb="13">
      <t>コジン</t>
    </rPh>
    <phoneticPr fontId="1"/>
  </si>
  <si>
    <t>AR</t>
    <phoneticPr fontId="1"/>
  </si>
  <si>
    <t>有</t>
    <phoneticPr fontId="1"/>
  </si>
  <si>
    <t>期日</t>
  </si>
  <si>
    <t>会場</t>
  </si>
  <si>
    <t>参加者</t>
    <rPh sb="0" eb="3">
      <t>サンカシャ</t>
    </rPh>
    <phoneticPr fontId="1"/>
  </si>
  <si>
    <t>段級受験</t>
    <rPh sb="0" eb="1">
      <t>ダン</t>
    </rPh>
    <rPh sb="1" eb="2">
      <t>キュウ</t>
    </rPh>
    <rPh sb="2" eb="4">
      <t>ジュケン</t>
    </rPh>
    <phoneticPr fontId="1"/>
  </si>
  <si>
    <t>使用標的</t>
    <rPh sb="0" eb="2">
      <t>シヨウ</t>
    </rPh>
    <rPh sb="2" eb="4">
      <t>ヒョウテキ</t>
    </rPh>
    <phoneticPr fontId="1"/>
  </si>
  <si>
    <t>役員</t>
    <rPh sb="0" eb="2">
      <t>ヤクイン</t>
    </rPh>
    <phoneticPr fontId="1"/>
  </si>
  <si>
    <t>BR</t>
    <phoneticPr fontId="1"/>
  </si>
  <si>
    <t>BP</t>
    <phoneticPr fontId="1"/>
  </si>
  <si>
    <t>A</t>
    <phoneticPr fontId="1"/>
  </si>
  <si>
    <t>B</t>
    <phoneticPr fontId="1"/>
  </si>
  <si>
    <t>G</t>
    <phoneticPr fontId="1"/>
  </si>
  <si>
    <t>1st ステージ</t>
    <phoneticPr fontId="1"/>
  </si>
  <si>
    <t>2nd ステージ</t>
    <phoneticPr fontId="1"/>
  </si>
  <si>
    <t>得点差</t>
    <rPh sb="0" eb="2">
      <t>トクテン</t>
    </rPh>
    <rPh sb="2" eb="3">
      <t>サ</t>
    </rPh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</si>
  <si>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</si>
  <si>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</si>
  <si>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</si>
  <si>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</si>
  <si>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H</t>
    <phoneticPr fontId="1"/>
  </si>
  <si>
    <t>1st</t>
    <phoneticPr fontId="1"/>
  </si>
  <si>
    <t>2nd</t>
    <phoneticPr fontId="1"/>
  </si>
  <si>
    <t>BR男子　ファイナル</t>
    <phoneticPr fontId="1"/>
  </si>
  <si>
    <t>BR女子　ファイナル</t>
    <rPh sb="2" eb="4">
      <t>ジョシ</t>
    </rPh>
    <phoneticPr fontId="1"/>
  </si>
  <si>
    <t>電子標的</t>
    <rPh sb="0" eb="2">
      <t>デンシ</t>
    </rPh>
    <phoneticPr fontId="1"/>
  </si>
  <si>
    <t>第1射群</t>
  </si>
  <si>
    <t>第2射群</t>
  </si>
  <si>
    <t>済美</t>
    <rPh sb="0" eb="1">
      <t>サイ</t>
    </rPh>
    <rPh sb="1" eb="2">
      <t>ビ</t>
    </rPh>
    <phoneticPr fontId="1"/>
  </si>
  <si>
    <t>鴬谷</t>
    <rPh sb="0" eb="1">
      <t>ウグイス</t>
    </rPh>
    <rPh sb="1" eb="2">
      <t>ダニ</t>
    </rPh>
    <phoneticPr fontId="1"/>
  </si>
  <si>
    <t>１２：５０～１３：２７</t>
    <phoneticPr fontId="1"/>
  </si>
  <si>
    <t>１３：４０～１４：１５</t>
    <phoneticPr fontId="1"/>
  </si>
  <si>
    <t>X</t>
    <phoneticPr fontId="1"/>
  </si>
  <si>
    <t>BＰ　女子団体戦</t>
    <rPh sb="3" eb="5">
      <t>ジョシ</t>
    </rPh>
    <rPh sb="5" eb="8">
      <t>ダンタイセン</t>
    </rPh>
    <phoneticPr fontId="1"/>
  </si>
  <si>
    <t>BP　男子団体戦</t>
    <rPh sb="3" eb="5">
      <t>ダンシ</t>
    </rPh>
    <rPh sb="5" eb="8">
      <t>ダンタイセン</t>
    </rPh>
    <phoneticPr fontId="1"/>
  </si>
  <si>
    <t>岐阜県立関有知高校射撃場</t>
    <phoneticPr fontId="1"/>
  </si>
  <si>
    <t>ＢR・ＢＰの部</t>
    <phoneticPr fontId="1"/>
  </si>
  <si>
    <t>（関有知高等学校長）</t>
    <rPh sb="8" eb="9">
      <t>チョウ</t>
    </rPh>
    <phoneticPr fontId="1"/>
  </si>
  <si>
    <t>（関有知高等学校）</t>
    <rPh sb="1" eb="2">
      <t>セキ</t>
    </rPh>
    <rPh sb="2" eb="3">
      <t>ウ</t>
    </rPh>
    <rPh sb="3" eb="4">
      <t>チ</t>
    </rPh>
    <rPh sb="4" eb="6">
      <t>コウトウ</t>
    </rPh>
    <rPh sb="6" eb="8">
      <t>ガッコウ</t>
    </rPh>
    <phoneticPr fontId="1"/>
  </si>
  <si>
    <t>（郡上北高等学校）</t>
    <phoneticPr fontId="1"/>
  </si>
  <si>
    <t>清水 寧　　</t>
    <rPh sb="0" eb="2">
      <t>シミズ</t>
    </rPh>
    <rPh sb="3" eb="4">
      <t>ヤスシ</t>
    </rPh>
    <phoneticPr fontId="1"/>
  </si>
  <si>
    <t>水野　賢利</t>
    <rPh sb="0" eb="2">
      <t>ミズノ</t>
    </rPh>
    <rPh sb="3" eb="4">
      <t>ケン</t>
    </rPh>
    <rPh sb="4" eb="5">
      <t>リ</t>
    </rPh>
    <phoneticPr fontId="1"/>
  </si>
  <si>
    <t>上野　茂男</t>
  </si>
  <si>
    <t>行わない</t>
    <rPh sb="0" eb="1">
      <t>オコナ</t>
    </rPh>
    <phoneticPr fontId="1"/>
  </si>
  <si>
    <t>BP（ビームピストル）個人</t>
    <rPh sb="11" eb="13">
      <t>コジン</t>
    </rPh>
    <phoneticPr fontId="1"/>
  </si>
  <si>
    <t>BP（ビームピストル）団体</t>
    <rPh sb="11" eb="13">
      <t>ダンタイ</t>
    </rPh>
    <phoneticPr fontId="1"/>
  </si>
  <si>
    <t>第3射群</t>
  </si>
  <si>
    <t>（MW）</t>
  </si>
  <si>
    <t>連絡・片付け</t>
    <rPh sb="3" eb="4">
      <t>カタ</t>
    </rPh>
    <rPh sb="4" eb="5">
      <t>ツ</t>
    </rPh>
    <phoneticPr fontId="1"/>
  </si>
  <si>
    <t>開会式（省略）</t>
    <rPh sb="4" eb="6">
      <t>ショウリャク</t>
    </rPh>
    <phoneticPr fontId="1"/>
  </si>
  <si>
    <t>決勝マッチ</t>
    <phoneticPr fontId="1"/>
  </si>
  <si>
    <t>（M8名）</t>
    <rPh sb="3" eb="4">
      <t>メイ</t>
    </rPh>
    <phoneticPr fontId="1"/>
  </si>
  <si>
    <t>（W8名）</t>
    <rPh sb="3" eb="4">
      <t>メイ</t>
    </rPh>
    <phoneticPr fontId="1"/>
  </si>
  <si>
    <t>省略（表彰状は各校に渡します）</t>
    <rPh sb="0" eb="2">
      <t>ショウリャク</t>
    </rPh>
    <rPh sb="3" eb="6">
      <t>ヒョウショウジョウ</t>
    </rPh>
    <rPh sb="7" eb="9">
      <t>カクコウ</t>
    </rPh>
    <rPh sb="10" eb="11">
      <t>ワタ</t>
    </rPh>
    <phoneticPr fontId="1"/>
  </si>
  <si>
    <t>岐阜県立関有知高校射撃場</t>
    <rPh sb="0" eb="3">
      <t>ギフケン</t>
    </rPh>
    <rPh sb="3" eb="4">
      <t>リツ</t>
    </rPh>
    <rPh sb="4" eb="5">
      <t>セキ</t>
    </rPh>
    <rPh sb="5" eb="6">
      <t>ウ</t>
    </rPh>
    <rPh sb="6" eb="7">
      <t>チ</t>
    </rPh>
    <rPh sb="7" eb="9">
      <t>コウコウ</t>
    </rPh>
    <rPh sb="9" eb="12">
      <t>シャゲキジョウ</t>
    </rPh>
    <phoneticPr fontId="1"/>
  </si>
  <si>
    <t xml:space="preserve"> 9：00 ～   9：45</t>
    <phoneticPr fontId="1"/>
  </si>
  <si>
    <t>10：10 ～ 10：55</t>
    <phoneticPr fontId="1"/>
  </si>
  <si>
    <t>11：20 ～ 12：05</t>
    <phoneticPr fontId="1"/>
  </si>
  <si>
    <t>12：30 ～ 13：15</t>
    <phoneticPr fontId="1"/>
  </si>
  <si>
    <t>10：10 ～ 10：55</t>
  </si>
  <si>
    <t>11：20 ～ 12：05</t>
  </si>
  <si>
    <t xml:space="preserve">第1射群   </t>
    <phoneticPr fontId="1"/>
  </si>
  <si>
    <t xml:space="preserve"> 9：00～ 9：45  　</t>
  </si>
  <si>
    <t xml:space="preserve">第4射群 </t>
    <phoneticPr fontId="1"/>
  </si>
  <si>
    <t>（MW）</t>
    <phoneticPr fontId="1"/>
  </si>
  <si>
    <t>AP</t>
    <phoneticPr fontId="1"/>
  </si>
  <si>
    <t>AR・APの部　日程</t>
    <rPh sb="6" eb="7">
      <t>ブ</t>
    </rPh>
    <phoneticPr fontId="1"/>
  </si>
  <si>
    <t>ＡR・APの部</t>
    <phoneticPr fontId="1"/>
  </si>
  <si>
    <t>済美高等学校射撃場</t>
    <rPh sb="0" eb="1">
      <t>サイ</t>
    </rPh>
    <rPh sb="1" eb="2">
      <t>ビ</t>
    </rPh>
    <phoneticPr fontId="1"/>
  </si>
  <si>
    <t>廣江　修</t>
    <rPh sb="0" eb="2">
      <t>ヒロエ</t>
    </rPh>
    <rPh sb="3" eb="4">
      <t>オサム</t>
    </rPh>
    <phoneticPr fontId="1"/>
  </si>
  <si>
    <t>（関有知高等学校（専門委員長））</t>
    <rPh sb="1" eb="2">
      <t>セキ</t>
    </rPh>
    <rPh sb="2" eb="3">
      <t>アリ</t>
    </rPh>
    <rPh sb="3" eb="4">
      <t>チ</t>
    </rPh>
    <rPh sb="4" eb="6">
      <t>コウトウ</t>
    </rPh>
    <rPh sb="9" eb="11">
      <t>センモン</t>
    </rPh>
    <rPh sb="11" eb="14">
      <t>イインチョウ</t>
    </rPh>
    <phoneticPr fontId="1"/>
  </si>
  <si>
    <t>済美高校射撃場</t>
    <rPh sb="0" eb="1">
      <t>サイ</t>
    </rPh>
    <rPh sb="1" eb="2">
      <t>ビ</t>
    </rPh>
    <rPh sb="2" eb="4">
      <t>コウコウ</t>
    </rPh>
    <rPh sb="4" eb="7">
      <t>シャゲキジョウ</t>
    </rPh>
    <phoneticPr fontId="1"/>
  </si>
  <si>
    <t>加藤　寛隆</t>
    <rPh sb="0" eb="2">
      <t>カトウ</t>
    </rPh>
    <rPh sb="3" eb="5">
      <t>ヒロタカ</t>
    </rPh>
    <phoneticPr fontId="1"/>
  </si>
  <si>
    <t>兼松　太一</t>
    <rPh sb="3" eb="5">
      <t>タイチ</t>
    </rPh>
    <phoneticPr fontId="1"/>
  </si>
  <si>
    <t>AR・APの部</t>
    <phoneticPr fontId="1"/>
  </si>
  <si>
    <t>列1</t>
  </si>
  <si>
    <t>1</t>
  </si>
  <si>
    <t>2</t>
  </si>
  <si>
    <t>3</t>
  </si>
  <si>
    <t>4</t>
  </si>
  <si>
    <t>5</t>
  </si>
  <si>
    <t>6</t>
  </si>
  <si>
    <t>射座</t>
    <rPh sb="0" eb="2">
      <t>シャザ</t>
    </rPh>
    <phoneticPr fontId="1"/>
  </si>
  <si>
    <t>1-2</t>
  </si>
  <si>
    <t>1-3</t>
  </si>
  <si>
    <t>1-1</t>
    <phoneticPr fontId="1"/>
  </si>
  <si>
    <t>ID</t>
    <phoneticPr fontId="1"/>
  </si>
  <si>
    <t>学年</t>
    <rPh sb="0" eb="2">
      <t>ガクネン</t>
    </rPh>
    <phoneticPr fontId="1"/>
  </si>
  <si>
    <t>岐阜県高校新人大会ライフル射撃競技　ARの部</t>
    <rPh sb="0" eb="3">
      <t>ギフケン</t>
    </rPh>
    <rPh sb="3" eb="5">
      <t>コウコウ</t>
    </rPh>
    <rPh sb="5" eb="7">
      <t>シンジン</t>
    </rPh>
    <rPh sb="7" eb="9">
      <t>タイカイ</t>
    </rPh>
    <rPh sb="13" eb="15">
      <t>シャゲキ</t>
    </rPh>
    <rPh sb="15" eb="17">
      <t>キョウギ</t>
    </rPh>
    <rPh sb="21" eb="22">
      <t>ブ</t>
    </rPh>
    <phoneticPr fontId="1"/>
  </si>
  <si>
    <t>岐阜県高校新人大会ライフル射撃競技　APの部</t>
    <rPh sb="0" eb="3">
      <t>ギフケン</t>
    </rPh>
    <rPh sb="3" eb="5">
      <t>コウコウ</t>
    </rPh>
    <rPh sb="5" eb="9">
      <t>シンジンタイカイ</t>
    </rPh>
    <rPh sb="13" eb="15">
      <t>シャゲキ</t>
    </rPh>
    <rPh sb="15" eb="17">
      <t>キョウギ</t>
    </rPh>
    <rPh sb="21" eb="22">
      <t>ブ</t>
    </rPh>
    <phoneticPr fontId="1"/>
  </si>
  <si>
    <t>岐阜県高校新人大会ライフル射撃競技　BRの部</t>
    <rPh sb="0" eb="2">
      <t>ギフ</t>
    </rPh>
    <rPh sb="2" eb="3">
      <t>ケン</t>
    </rPh>
    <rPh sb="3" eb="5">
      <t>コウコウ</t>
    </rPh>
    <rPh sb="5" eb="9">
      <t>シンジンタイカイ</t>
    </rPh>
    <rPh sb="13" eb="15">
      <t>シャゲキ</t>
    </rPh>
    <rPh sb="15" eb="17">
      <t>キョウギ</t>
    </rPh>
    <rPh sb="21" eb="22">
      <t>ブ</t>
    </rPh>
    <phoneticPr fontId="1"/>
  </si>
  <si>
    <t>岐阜県高校新人大会ライフル射撃競技　BPの部</t>
    <rPh sb="0" eb="2">
      <t>ギフ</t>
    </rPh>
    <rPh sb="2" eb="3">
      <t>ケン</t>
    </rPh>
    <rPh sb="3" eb="5">
      <t>コウコウ</t>
    </rPh>
    <rPh sb="5" eb="9">
      <t>シンジンタイカイ</t>
    </rPh>
    <rPh sb="13" eb="15">
      <t>シャゲキ</t>
    </rPh>
    <rPh sb="15" eb="17">
      <t>キョウギ</t>
    </rPh>
    <rPh sb="21" eb="22">
      <t>ブ</t>
    </rPh>
    <phoneticPr fontId="1"/>
  </si>
  <si>
    <t>通番</t>
    <rPh sb="0" eb="2">
      <t>ツウバン</t>
    </rPh>
    <phoneticPr fontId="1"/>
  </si>
  <si>
    <t>列5</t>
  </si>
  <si>
    <t>松井　可六</t>
    <rPh sb="0" eb="2">
      <t>マツイ</t>
    </rPh>
    <rPh sb="3" eb="4">
      <t>ベシ</t>
    </rPh>
    <rPh sb="4" eb="5">
      <t>ロク</t>
    </rPh>
    <phoneticPr fontId="1"/>
  </si>
  <si>
    <t>エントリーリスト</t>
    <phoneticPr fontId="1"/>
  </si>
  <si>
    <t>氏名</t>
    <rPh sb="0" eb="2">
      <t>シメイ</t>
    </rPh>
    <phoneticPr fontId="1"/>
  </si>
  <si>
    <t>学校</t>
    <rPh sb="0" eb="2">
      <t>ガッコウ</t>
    </rPh>
    <phoneticPr fontId="1"/>
  </si>
  <si>
    <t>済美</t>
    <rPh sb="0" eb="2">
      <t>セイビ</t>
    </rPh>
    <phoneticPr fontId="1"/>
  </si>
  <si>
    <t>済美A</t>
    <rPh sb="0" eb="2">
      <t>セイビ</t>
    </rPh>
    <phoneticPr fontId="1"/>
  </si>
  <si>
    <t>富松利信</t>
  </si>
  <si>
    <t>足立蓮次</t>
  </si>
  <si>
    <t>山下元喜</t>
  </si>
  <si>
    <t>大垣日大</t>
    <rPh sb="0" eb="4">
      <t>オオガキニチダイ</t>
    </rPh>
    <phoneticPr fontId="1"/>
  </si>
  <si>
    <t>申請中</t>
  </si>
  <si>
    <t>田中　友貴</t>
  </si>
  <si>
    <t>大垣日大A</t>
    <rPh sb="0" eb="4">
      <t>オオガキニチダイ</t>
    </rPh>
    <phoneticPr fontId="1"/>
  </si>
  <si>
    <t>金森　陸</t>
  </si>
  <si>
    <t>後藤　慎吾</t>
  </si>
  <si>
    <t>関有知A</t>
    <rPh sb="0" eb="1">
      <t>セキ</t>
    </rPh>
    <rPh sb="1" eb="2">
      <t>ウ</t>
    </rPh>
    <rPh sb="2" eb="3">
      <t>チ</t>
    </rPh>
    <phoneticPr fontId="1"/>
  </si>
  <si>
    <t>武藤　弘歩</t>
  </si>
  <si>
    <t>関有知A</t>
    <rPh sb="0" eb="3">
      <t>セキウチ</t>
    </rPh>
    <phoneticPr fontId="1"/>
  </si>
  <si>
    <t>水野　音流</t>
  </si>
  <si>
    <t>三浦　柚希</t>
  </si>
  <si>
    <t>藤田　千愛</t>
  </si>
  <si>
    <t>関有知</t>
    <rPh sb="0" eb="3">
      <t>セキウチ</t>
    </rPh>
    <phoneticPr fontId="1"/>
  </si>
  <si>
    <t>第１射群</t>
    <rPh sb="0" eb="1">
      <t>ダイ</t>
    </rPh>
    <rPh sb="2" eb="4">
      <t>シャグン</t>
    </rPh>
    <phoneticPr fontId="1"/>
  </si>
  <si>
    <t>鶯谷</t>
    <rPh sb="0" eb="2">
      <t>ウグイスダニ</t>
    </rPh>
    <phoneticPr fontId="1"/>
  </si>
  <si>
    <t>鶯谷A</t>
    <rPh sb="0" eb="2">
      <t>ウグイスダニ</t>
    </rPh>
    <phoneticPr fontId="1"/>
  </si>
  <si>
    <t>第2射群</t>
    <rPh sb="0" eb="1">
      <t>ダイ</t>
    </rPh>
    <rPh sb="2" eb="4">
      <t>シャグン</t>
    </rPh>
    <phoneticPr fontId="1"/>
  </si>
  <si>
    <t>第３射群</t>
    <rPh sb="0" eb="1">
      <t>ダイ</t>
    </rPh>
    <rPh sb="2" eb="4">
      <t>シャグン</t>
    </rPh>
    <phoneticPr fontId="1"/>
  </si>
  <si>
    <t>第４射群</t>
    <rPh sb="0" eb="1">
      <t>ダイ</t>
    </rPh>
    <rPh sb="2" eb="4">
      <t>シャグン</t>
    </rPh>
    <phoneticPr fontId="1"/>
  </si>
  <si>
    <t>郡上北</t>
    <rPh sb="0" eb="3">
      <t>グジョウキタ</t>
    </rPh>
    <phoneticPr fontId="1"/>
  </si>
  <si>
    <t>1-6</t>
    <phoneticPr fontId="1"/>
  </si>
  <si>
    <t>郡上北A</t>
    <rPh sb="0" eb="3">
      <t>グジョウキタ</t>
    </rPh>
    <phoneticPr fontId="1"/>
  </si>
  <si>
    <t>曽我　龍聖</t>
  </si>
  <si>
    <t>1-2</t>
    <phoneticPr fontId="1"/>
  </si>
  <si>
    <t>1-4</t>
    <phoneticPr fontId="1"/>
  </si>
  <si>
    <t>2-2</t>
    <phoneticPr fontId="1"/>
  </si>
  <si>
    <t>2-6</t>
    <phoneticPr fontId="1"/>
  </si>
  <si>
    <t>3-2</t>
    <phoneticPr fontId="1"/>
  </si>
  <si>
    <t>4-2</t>
    <phoneticPr fontId="1"/>
  </si>
  <si>
    <t>2-8</t>
    <phoneticPr fontId="1"/>
  </si>
  <si>
    <t>1-3</t>
    <phoneticPr fontId="1"/>
  </si>
  <si>
    <t>2-3</t>
    <phoneticPr fontId="1"/>
  </si>
  <si>
    <t>3-3</t>
    <phoneticPr fontId="1"/>
  </si>
  <si>
    <t>3-4</t>
    <phoneticPr fontId="1"/>
  </si>
  <si>
    <t>4-3</t>
    <phoneticPr fontId="1"/>
  </si>
  <si>
    <t>4-4</t>
    <phoneticPr fontId="1"/>
  </si>
  <si>
    <t>2-4</t>
    <phoneticPr fontId="1"/>
  </si>
  <si>
    <t>氏　　名2</t>
    <rPh sb="0" eb="1">
      <t>シメイ22</t>
    </rPh>
    <phoneticPr fontId="1"/>
  </si>
  <si>
    <t>得　点2</t>
    <rPh sb="0" eb="1">
      <t>トクテン3</t>
    </rPh>
    <phoneticPr fontId="1"/>
  </si>
  <si>
    <t>氏　　名3</t>
    <rPh sb="0" eb="1">
      <t>シメイ43</t>
    </rPh>
    <phoneticPr fontId="1"/>
  </si>
  <si>
    <t>得　点3</t>
    <rPh sb="0" eb="1">
      <t>トクテン5</t>
    </rPh>
    <phoneticPr fontId="1"/>
  </si>
  <si>
    <t>AP（エアピストル）個人</t>
    <rPh sb="10" eb="12">
      <t>コジン</t>
    </rPh>
    <phoneticPr fontId="1"/>
  </si>
  <si>
    <t>岐阜県高校新人大会ライフル射撃競技ＢＲ（ビームライフル）・ＢＰ（ビームピストル）の部成績</t>
    <rPh sb="0" eb="2">
      <t>ギフ</t>
    </rPh>
    <rPh sb="2" eb="3">
      <t>ケン</t>
    </rPh>
    <rPh sb="3" eb="5">
      <t>コウコウ</t>
    </rPh>
    <rPh sb="5" eb="7">
      <t>シンジン</t>
    </rPh>
    <rPh sb="7" eb="9">
      <t>タイカイ</t>
    </rPh>
    <rPh sb="13" eb="15">
      <t>シャゲキ</t>
    </rPh>
    <rPh sb="15" eb="17">
      <t>キョウギ</t>
    </rPh>
    <rPh sb="41" eb="42">
      <t>ブ</t>
    </rPh>
    <rPh sb="42" eb="44">
      <t>セイセキ</t>
    </rPh>
    <phoneticPr fontId="1"/>
  </si>
  <si>
    <t>岐阜県高校新人大会ライフル射撃競技AR（エアライフル）・AP（エアピストル）の部成績</t>
    <rPh sb="0" eb="2">
      <t>ギフ</t>
    </rPh>
    <rPh sb="2" eb="3">
      <t>ケン</t>
    </rPh>
    <rPh sb="3" eb="5">
      <t>コウコウ</t>
    </rPh>
    <rPh sb="5" eb="7">
      <t>シンジン</t>
    </rPh>
    <rPh sb="7" eb="9">
      <t>タイカイ</t>
    </rPh>
    <rPh sb="13" eb="15">
      <t>シャゲキ</t>
    </rPh>
    <rPh sb="15" eb="17">
      <t>キョウギ</t>
    </rPh>
    <rPh sb="39" eb="40">
      <t>ブ</t>
    </rPh>
    <rPh sb="40" eb="42">
      <t>セイセキ</t>
    </rPh>
    <phoneticPr fontId="1"/>
  </si>
  <si>
    <t>男子  ４人、女子　３ 人</t>
    <rPh sb="5" eb="6">
      <t>ニン</t>
    </rPh>
    <rPh sb="7" eb="9">
      <t>ジョシ</t>
    </rPh>
    <phoneticPr fontId="1"/>
  </si>
  <si>
    <t>無</t>
    <rPh sb="0" eb="1">
      <t>ナ</t>
    </rPh>
    <phoneticPr fontId="1"/>
  </si>
  <si>
    <t>男子　29人、女子　16 人</t>
    <phoneticPr fontId="1"/>
  </si>
  <si>
    <t>廣江修・松井可六</t>
    <rPh sb="0" eb="2">
      <t>ヒロエ</t>
    </rPh>
    <rPh sb="2" eb="3">
      <t>オサム</t>
    </rPh>
    <rPh sb="4" eb="6">
      <t>マツイ</t>
    </rPh>
    <rPh sb="6" eb="7">
      <t>ベシ</t>
    </rPh>
    <rPh sb="7" eb="8">
      <t>ロク</t>
    </rPh>
    <phoneticPr fontId="1"/>
  </si>
  <si>
    <t>廣江修・上野茂男</t>
    <rPh sb="0" eb="2">
      <t>ヒロエ</t>
    </rPh>
    <rPh sb="2" eb="3">
      <t>オサム</t>
    </rPh>
    <phoneticPr fontId="1"/>
  </si>
  <si>
    <t>狩野　由依奈</t>
  </si>
  <si>
    <t>X</t>
  </si>
  <si>
    <t>通番</t>
  </si>
  <si>
    <t>射座</t>
  </si>
  <si>
    <t>ID</t>
  </si>
  <si>
    <t>氏　　名</t>
  </si>
  <si>
    <t>学　校</t>
  </si>
  <si>
    <t>学年</t>
  </si>
  <si>
    <t>合　計</t>
  </si>
  <si>
    <t>順位</t>
  </si>
  <si>
    <t>令和7年度　</t>
    <rPh sb="0" eb="2">
      <t>レイワ</t>
    </rPh>
    <phoneticPr fontId="1"/>
  </si>
  <si>
    <t>令和7年10月25日（土）</t>
    <rPh sb="0" eb="2">
      <t>レイワ</t>
    </rPh>
    <rPh sb="11" eb="12">
      <t>ド</t>
    </rPh>
    <phoneticPr fontId="1"/>
  </si>
  <si>
    <t>令和7年10月26日（日）</t>
    <rPh sb="0" eb="2">
      <t>レイワ</t>
    </rPh>
    <rPh sb="6" eb="7">
      <t>ガツ</t>
    </rPh>
    <phoneticPr fontId="1"/>
  </si>
  <si>
    <t>島田　昂弥</t>
    <rPh sb="0" eb="2">
      <t>シマダ</t>
    </rPh>
    <rPh sb="3" eb="4">
      <t>コウ</t>
    </rPh>
    <rPh sb="4" eb="5">
      <t>ヤ</t>
    </rPh>
    <phoneticPr fontId="1"/>
  </si>
  <si>
    <t>岐阜県高校新人大会ライフル射撃競技
兼令和７年度第２４回秋季東海地区高等学校ライフル射撃競技大会予選会</t>
    <rPh sb="18" eb="19">
      <t>ケン</t>
    </rPh>
    <rPh sb="48" eb="51">
      <t>ヨセンカイ</t>
    </rPh>
    <phoneticPr fontId="1"/>
  </si>
  <si>
    <t>辻祥平</t>
    <rPh sb="0" eb="3">
      <t>ツジショウヘイ</t>
    </rPh>
    <phoneticPr fontId="1"/>
  </si>
  <si>
    <t>（M)</t>
    <phoneticPr fontId="1"/>
  </si>
  <si>
    <t>(W)</t>
    <phoneticPr fontId="1"/>
  </si>
  <si>
    <t>11:30～12:45</t>
    <phoneticPr fontId="1"/>
  </si>
  <si>
    <t>9:30～10:45</t>
    <phoneticPr fontId="1"/>
  </si>
  <si>
    <t>済美Ａ</t>
  </si>
  <si>
    <t>済美Ａ</t>
    <phoneticPr fontId="1"/>
  </si>
  <si>
    <t>加藤凜</t>
  </si>
  <si>
    <t>田邉陸玖</t>
  </si>
  <si>
    <t>福田隆人</t>
  </si>
  <si>
    <t>済美</t>
  </si>
  <si>
    <t>済美</t>
    <phoneticPr fontId="1"/>
  </si>
  <si>
    <t>2-10</t>
    <phoneticPr fontId="1"/>
  </si>
  <si>
    <t>浅野　海空</t>
  </si>
  <si>
    <t>関有知A</t>
  </si>
  <si>
    <t>関有知A</t>
    <phoneticPr fontId="1"/>
  </si>
  <si>
    <t>第２射群</t>
    <rPh sb="0" eb="1">
      <t>ダイ</t>
    </rPh>
    <rPh sb="2" eb="4">
      <t>シャグン</t>
    </rPh>
    <phoneticPr fontId="1"/>
  </si>
  <si>
    <t>関有知</t>
    <phoneticPr fontId="1"/>
  </si>
  <si>
    <t>2-1</t>
    <phoneticPr fontId="1"/>
  </si>
  <si>
    <t>45031949</t>
  </si>
  <si>
    <t>徳田恭実</t>
  </si>
  <si>
    <t>中島　結彩</t>
  </si>
  <si>
    <t>岐阜北</t>
    <rPh sb="0" eb="3">
      <t>ギフキタ</t>
    </rPh>
    <phoneticPr fontId="1"/>
  </si>
  <si>
    <t>井口蒼太</t>
  </si>
  <si>
    <t>中村颯斗</t>
  </si>
  <si>
    <t>森島礼真</t>
  </si>
  <si>
    <t>済美Ｂ</t>
  </si>
  <si>
    <t>2-5</t>
    <phoneticPr fontId="1"/>
  </si>
  <si>
    <t>松本　峻介</t>
  </si>
  <si>
    <t>森　大喜</t>
  </si>
  <si>
    <t>狩野　佑斗</t>
  </si>
  <si>
    <t>郡上北A</t>
  </si>
  <si>
    <t>大垣日大</t>
    <rPh sb="0" eb="3">
      <t>オオガキニチ</t>
    </rPh>
    <rPh sb="3" eb="4">
      <t>ダイ</t>
    </rPh>
    <phoneticPr fontId="1"/>
  </si>
  <si>
    <t>青山　燕空</t>
  </si>
  <si>
    <t>小竹　莞太郎</t>
  </si>
  <si>
    <t>澤村　魁里</t>
    <rPh sb="4" eb="5">
      <t>リ</t>
    </rPh>
    <phoneticPr fontId="1"/>
  </si>
  <si>
    <t>春日井　月暉</t>
  </si>
  <si>
    <t>永澤　京誠</t>
  </si>
  <si>
    <t>関有知B</t>
  </si>
  <si>
    <t>野崎　絆太</t>
  </si>
  <si>
    <t>村瀬　光琉</t>
  </si>
  <si>
    <t>加藤凜</t>
    <phoneticPr fontId="1"/>
  </si>
  <si>
    <t>河出菜欧美</t>
  </si>
  <si>
    <t>大野愛季</t>
  </si>
  <si>
    <t>角　　律希</t>
  </si>
  <si>
    <t>山田　千結</t>
  </si>
  <si>
    <t>関　　希</t>
  </si>
  <si>
    <t>大垣日大A</t>
  </si>
  <si>
    <t>大垣日大A</t>
    <phoneticPr fontId="1"/>
  </si>
  <si>
    <t>鶯谷A</t>
  </si>
  <si>
    <t>木戸脇　亜依</t>
  </si>
  <si>
    <t>三宅　鈴音</t>
  </si>
  <si>
    <t>中村　由弥</t>
  </si>
  <si>
    <t>見谷　遥日</t>
  </si>
  <si>
    <t>柚木紹</t>
  </si>
  <si>
    <t>小倉　虎太郎</t>
  </si>
  <si>
    <t>郡上北</t>
    <phoneticPr fontId="1"/>
  </si>
  <si>
    <t>田上　力一</t>
  </si>
  <si>
    <t>伊東　淳彦</t>
  </si>
  <si>
    <t>清原　隼</t>
  </si>
  <si>
    <t>山梨　功晴</t>
  </si>
  <si>
    <t>橋本  優</t>
  </si>
  <si>
    <t>森　千紘</t>
  </si>
  <si>
    <t>東　莉杏</t>
  </si>
  <si>
    <t>藤井　音緒</t>
  </si>
  <si>
    <t>鶯谷B</t>
  </si>
  <si>
    <t>西村　翔真</t>
  </si>
  <si>
    <t>関有知B</t>
    <rPh sb="0" eb="3">
      <t>セキウチ</t>
    </rPh>
    <phoneticPr fontId="1"/>
  </si>
  <si>
    <t>神山　颯杜</t>
  </si>
  <si>
    <t>棚橋　隼</t>
  </si>
  <si>
    <t>花村　皇斉</t>
  </si>
  <si>
    <t>3-1</t>
    <phoneticPr fontId="1"/>
  </si>
  <si>
    <t>4-1</t>
    <phoneticPr fontId="1"/>
  </si>
  <si>
    <t>5-1</t>
    <phoneticPr fontId="1"/>
  </si>
  <si>
    <t>5-2</t>
    <phoneticPr fontId="1"/>
  </si>
  <si>
    <t>5-3</t>
    <phoneticPr fontId="1"/>
  </si>
  <si>
    <t>3-5</t>
    <phoneticPr fontId="1"/>
  </si>
  <si>
    <t>4-5</t>
    <phoneticPr fontId="1"/>
  </si>
  <si>
    <t>5-4</t>
    <phoneticPr fontId="1"/>
  </si>
  <si>
    <t>5-5</t>
    <phoneticPr fontId="1"/>
  </si>
  <si>
    <t>第5射群</t>
    <rPh sb="0" eb="1">
      <t>ダイ</t>
    </rPh>
    <rPh sb="2" eb="4">
      <t>シャグン</t>
    </rPh>
    <phoneticPr fontId="1"/>
  </si>
  <si>
    <t>第6射群</t>
    <rPh sb="0" eb="1">
      <t>ダイ</t>
    </rPh>
    <rPh sb="2" eb="4">
      <t>シャグン</t>
    </rPh>
    <phoneticPr fontId="1"/>
  </si>
  <si>
    <t>9：30～10：45</t>
    <phoneticPr fontId="1"/>
  </si>
  <si>
    <t>11：30～12：45</t>
    <phoneticPr fontId="1"/>
  </si>
  <si>
    <t>13：40～14：25</t>
    <phoneticPr fontId="1"/>
  </si>
  <si>
    <t>14：50～15：35</t>
    <phoneticPr fontId="1"/>
  </si>
  <si>
    <t>6-1</t>
    <phoneticPr fontId="1"/>
  </si>
  <si>
    <t>6-2</t>
    <phoneticPr fontId="1"/>
  </si>
  <si>
    <t>6-3</t>
    <phoneticPr fontId="1"/>
  </si>
  <si>
    <t>14：50 ～ 15：35</t>
    <phoneticPr fontId="1"/>
  </si>
  <si>
    <t>13：40 ～ 14：25</t>
    <phoneticPr fontId="1"/>
  </si>
  <si>
    <t xml:space="preserve"> 9：00 ～ 9：45  　</t>
    <phoneticPr fontId="1"/>
  </si>
  <si>
    <t>6-4</t>
    <phoneticPr fontId="1"/>
  </si>
  <si>
    <t>6-5</t>
    <phoneticPr fontId="1"/>
  </si>
  <si>
    <t>6-6</t>
    <phoneticPr fontId="1"/>
  </si>
  <si>
    <t>1-5</t>
    <phoneticPr fontId="1"/>
  </si>
  <si>
    <t>3-6</t>
    <phoneticPr fontId="1"/>
  </si>
  <si>
    <t>4-6</t>
    <phoneticPr fontId="1"/>
  </si>
  <si>
    <t>第５射群</t>
    <rPh sb="0" eb="1">
      <t>ダイ</t>
    </rPh>
    <rPh sb="2" eb="4">
      <t>シャグン</t>
    </rPh>
    <phoneticPr fontId="1"/>
  </si>
  <si>
    <t>第６射群</t>
    <rPh sb="0" eb="1">
      <t>ダイ</t>
    </rPh>
    <rPh sb="2" eb="4">
      <t>シャグン</t>
    </rPh>
    <phoneticPr fontId="1"/>
  </si>
  <si>
    <t>澤村　魁里</t>
  </si>
  <si>
    <t>AR　男子団体戦</t>
    <rPh sb="3" eb="5">
      <t>ダンシ</t>
    </rPh>
    <rPh sb="5" eb="8">
      <t>ダンタイセン</t>
    </rPh>
    <phoneticPr fontId="1"/>
  </si>
  <si>
    <t>県立関有知高等学校射撃場</t>
    <rPh sb="0" eb="2">
      <t>ケンリツ</t>
    </rPh>
    <rPh sb="2" eb="5">
      <t>セキウチ</t>
    </rPh>
    <rPh sb="5" eb="9">
      <t>コウトウガッコウ</t>
    </rPh>
    <rPh sb="9" eb="12">
      <t>シャゲキジョウ</t>
    </rPh>
    <phoneticPr fontId="1"/>
  </si>
  <si>
    <t>AR　女子団体戦</t>
    <rPh sb="3" eb="5">
      <t>ジョシ</t>
    </rPh>
    <rPh sb="5" eb="8">
      <t>ダンタイセン</t>
    </rPh>
    <phoneticPr fontId="1"/>
  </si>
  <si>
    <t>AP　男子団体戦</t>
    <rPh sb="3" eb="5">
      <t>ダンシ</t>
    </rPh>
    <rPh sb="5" eb="8">
      <t>ダンタイセン</t>
    </rPh>
    <phoneticPr fontId="1"/>
  </si>
  <si>
    <t>関有知A</t>
    <rPh sb="0" eb="1">
      <t>セキ</t>
    </rPh>
    <rPh sb="1" eb="2">
      <t>ユウ</t>
    </rPh>
    <rPh sb="2" eb="3">
      <t>チ</t>
    </rPh>
    <phoneticPr fontId="1"/>
  </si>
  <si>
    <t>関有知B</t>
    <rPh sb="0" eb="1">
      <t>セキ</t>
    </rPh>
    <rPh sb="1" eb="2">
      <t>ユウ</t>
    </rPh>
    <rPh sb="2" eb="3">
      <t>チ</t>
    </rPh>
    <phoneticPr fontId="1"/>
  </si>
  <si>
    <t>氏　　名2</t>
    <rPh sb="0" eb="1">
      <t>シメイ2</t>
    </rPh>
    <phoneticPr fontId="1"/>
  </si>
  <si>
    <t>鶯谷B</t>
    <rPh sb="0" eb="2">
      <t>ウグイスダニ</t>
    </rPh>
    <phoneticPr fontId="1"/>
  </si>
  <si>
    <t>得点２</t>
    <rPh sb="0" eb="2">
      <t>トクテン</t>
    </rPh>
    <phoneticPr fontId="1"/>
  </si>
  <si>
    <t>氏名３</t>
    <rPh sb="0" eb="2">
      <t>シメイ</t>
    </rPh>
    <phoneticPr fontId="1"/>
  </si>
  <si>
    <t>得点３</t>
    <rPh sb="0" eb="2">
      <t>トクテン</t>
    </rPh>
    <phoneticPr fontId="1"/>
  </si>
  <si>
    <t>1枚目/2枚中</t>
    <rPh sb="1" eb="3">
      <t>マイメ</t>
    </rPh>
    <rPh sb="5" eb="7">
      <t>マイチュウ</t>
    </rPh>
    <phoneticPr fontId="1"/>
  </si>
  <si>
    <t>AR（エアライフル）団体</t>
    <rPh sb="10" eb="12">
      <t>ダンタイ</t>
    </rPh>
    <phoneticPr fontId="1"/>
  </si>
  <si>
    <t>AP（エアピストル）団体</t>
    <rPh sb="10" eb="12">
      <t>ダンタイ</t>
    </rPh>
    <phoneticPr fontId="1"/>
  </si>
  <si>
    <t>辻　祥平</t>
    <rPh sb="0" eb="1">
      <t>ツジ</t>
    </rPh>
    <rPh sb="2" eb="4">
      <t>ショウヘイ</t>
    </rPh>
    <phoneticPr fontId="1"/>
  </si>
  <si>
    <t>0575-23-1675</t>
    <phoneticPr fontId="1"/>
  </si>
  <si>
    <t>2枚目/2枚中</t>
    <rPh sb="1" eb="3">
      <t>マイメ</t>
    </rPh>
    <rPh sb="5" eb="7">
      <t>マイチュウ</t>
    </rPh>
    <phoneticPr fontId="1"/>
  </si>
  <si>
    <t>1-5</t>
  </si>
  <si>
    <t>1-6</t>
  </si>
  <si>
    <t>1-7</t>
  </si>
  <si>
    <t>1-8</t>
  </si>
  <si>
    <t>1-9</t>
  </si>
  <si>
    <t>1-10</t>
  </si>
  <si>
    <t>狩野　佑斗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</si>
</sst>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_ "/>
    <numFmt numFmtId="177" formatCode="0_ "/>
    <numFmt numFmtId="178" formatCode="0.00_);[Red]\(0.00\)"/>
    <numFmt numFmtId="179" formatCode="0.0_);[Red]\(0.0\)"/>
    <numFmt numFmtId="180" formatCode="0_);[Red]\(0\)"/>
    <numFmt numFmtId="181" formatCode="\(aaa\)"/>
    <numFmt numFmtId="182" formatCode="0.0"/>
    <numFmt numFmtId="183" formatCode="m&quot;月&quot;d&quot;日&quot;;@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22"/>
      <name val="メイリオ"/>
      <family val="3"/>
      <charset val="128"/>
    </font>
    <font>
      <sz val="11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8"/>
      <name val="メイリオ"/>
      <family val="3"/>
      <charset val="128"/>
    </font>
    <font>
      <sz val="10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3"/>
      <name val="メイリオ"/>
      <family val="3"/>
      <charset val="128"/>
    </font>
    <font>
      <sz val="11"/>
      <color indexed="44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1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52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77" fontId="2" fillId="0" borderId="20" xfId="0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Protection="1">
      <alignment vertical="center"/>
      <protection locked="0"/>
    </xf>
    <xf numFmtId="0" fontId="2" fillId="0" borderId="3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179" fontId="7" fillId="0" borderId="36" xfId="0" applyNumberFormat="1" applyFont="1" applyBorder="1" applyAlignment="1">
      <alignment horizontal="center" vertical="center"/>
    </xf>
    <xf numFmtId="179" fontId="7" fillId="0" borderId="9" xfId="0" applyNumberFormat="1" applyFont="1" applyBorder="1" applyAlignment="1">
      <alignment horizontal="center" vertical="center"/>
    </xf>
    <xf numFmtId="179" fontId="7" fillId="0" borderId="37" xfId="0" applyNumberFormat="1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179" fontId="2" fillId="0" borderId="38" xfId="0" applyNumberFormat="1" applyFont="1" applyBorder="1" applyAlignment="1">
      <alignment horizontal="center" vertical="center"/>
    </xf>
    <xf numFmtId="179" fontId="2" fillId="0" borderId="39" xfId="0" applyNumberFormat="1" applyFont="1" applyBorder="1" applyAlignment="1">
      <alignment horizontal="center" vertical="center"/>
    </xf>
    <xf numFmtId="179" fontId="2" fillId="0" borderId="40" xfId="0" applyNumberFormat="1" applyFont="1" applyBorder="1" applyAlignment="1">
      <alignment horizontal="center" vertical="center"/>
    </xf>
    <xf numFmtId="0" fontId="2" fillId="0" borderId="20" xfId="0" applyFont="1" applyBorder="1" applyAlignment="1" applyProtection="1">
      <alignment horizontal="center" vertical="center"/>
      <protection locked="0"/>
    </xf>
    <xf numFmtId="179" fontId="2" fillId="0" borderId="41" xfId="0" applyNumberFormat="1" applyFont="1" applyBorder="1" applyAlignment="1">
      <alignment horizontal="center" vertical="center"/>
    </xf>
    <xf numFmtId="179" fontId="2" fillId="0" borderId="42" xfId="0" applyNumberFormat="1" applyFont="1" applyBorder="1" applyAlignment="1">
      <alignment horizontal="center" vertical="center"/>
    </xf>
    <xf numFmtId="179" fontId="2" fillId="0" borderId="43" xfId="0" applyNumberFormat="1" applyFont="1" applyBorder="1" applyAlignment="1">
      <alignment horizontal="center" vertical="center"/>
    </xf>
    <xf numFmtId="179" fontId="2" fillId="0" borderId="44" xfId="0" applyNumberFormat="1" applyFont="1" applyBorder="1" applyAlignment="1">
      <alignment horizontal="center" vertical="center"/>
    </xf>
    <xf numFmtId="179" fontId="2" fillId="0" borderId="45" xfId="0" applyNumberFormat="1" applyFont="1" applyBorder="1" applyAlignment="1">
      <alignment horizontal="center" vertical="center"/>
    </xf>
    <xf numFmtId="179" fontId="2" fillId="0" borderId="46" xfId="0" applyNumberFormat="1" applyFont="1" applyBorder="1" applyAlignment="1">
      <alignment horizontal="center" vertical="center"/>
    </xf>
    <xf numFmtId="179" fontId="2" fillId="0" borderId="47" xfId="0" applyNumberFormat="1" applyFont="1" applyBorder="1" applyAlignment="1">
      <alignment horizontal="center" vertical="center"/>
    </xf>
    <xf numFmtId="179" fontId="2" fillId="0" borderId="48" xfId="0" applyNumberFormat="1" applyFont="1" applyBorder="1" applyAlignment="1">
      <alignment horizontal="center" vertical="center"/>
    </xf>
    <xf numFmtId="179" fontId="2" fillId="0" borderId="20" xfId="0" applyNumberFormat="1" applyFont="1" applyBorder="1" applyAlignment="1" applyProtection="1">
      <alignment horizontal="center" vertical="center"/>
      <protection locked="0"/>
    </xf>
    <xf numFmtId="179" fontId="2" fillId="0" borderId="20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9" fillId="0" borderId="1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7" xfId="0" applyFont="1" applyBorder="1">
      <alignment vertical="center"/>
    </xf>
    <xf numFmtId="0" fontId="10" fillId="0" borderId="7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0" xfId="0" applyFont="1" applyAlignment="1">
      <alignment horizontal="distributed" vertical="center"/>
    </xf>
    <xf numFmtId="0" fontId="9" fillId="0" borderId="0" xfId="0" applyFont="1" applyAlignment="1">
      <alignment horizontal="left" vertical="center"/>
    </xf>
    <xf numFmtId="0" fontId="9" fillId="0" borderId="63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20" xfId="0" applyFont="1" applyBorder="1">
      <alignment vertical="center"/>
    </xf>
    <xf numFmtId="56" fontId="10" fillId="0" borderId="0" xfId="0" applyNumberFormat="1" applyFont="1">
      <alignment vertical="center"/>
    </xf>
    <xf numFmtId="181" fontId="10" fillId="0" borderId="0" xfId="0" applyNumberFormat="1" applyFont="1" applyAlignment="1">
      <alignment horizontal="left" vertical="center"/>
    </xf>
    <xf numFmtId="0" fontId="11" fillId="0" borderId="29" xfId="0" applyFont="1" applyBorder="1" applyAlignment="1">
      <alignment horizontal="center" vertical="center"/>
    </xf>
    <xf numFmtId="0" fontId="11" fillId="0" borderId="0" xfId="0" applyFont="1" applyAlignment="1">
      <alignment horizontal="distributed" vertical="center"/>
    </xf>
    <xf numFmtId="179" fontId="12" fillId="0" borderId="0" xfId="0" applyNumberFormat="1" applyFont="1" applyAlignment="1">
      <alignment horizontal="center" vertical="center" shrinkToFit="1"/>
    </xf>
    <xf numFmtId="179" fontId="11" fillId="0" borderId="0" xfId="0" applyNumberFormat="1" applyFont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179" fontId="10" fillId="0" borderId="0" xfId="0" applyNumberFormat="1" applyFont="1">
      <alignment vertical="center"/>
    </xf>
    <xf numFmtId="179" fontId="11" fillId="0" borderId="0" xfId="0" applyNumberFormat="1" applyFont="1">
      <alignment vertical="center"/>
    </xf>
    <xf numFmtId="177" fontId="12" fillId="0" borderId="0" xfId="0" applyNumberFormat="1" applyFont="1" applyAlignment="1">
      <alignment horizontal="center" vertical="center" shrinkToFit="1"/>
    </xf>
    <xf numFmtId="0" fontId="11" fillId="0" borderId="58" xfId="0" applyFont="1" applyBorder="1" applyAlignment="1">
      <alignment horizontal="center" vertical="center"/>
    </xf>
    <xf numFmtId="179" fontId="9" fillId="0" borderId="0" xfId="0" applyNumberFormat="1" applyFont="1">
      <alignment vertical="center"/>
    </xf>
    <xf numFmtId="180" fontId="11" fillId="0" borderId="0" xfId="0" applyNumberFormat="1" applyFont="1">
      <alignment vertical="center"/>
    </xf>
    <xf numFmtId="180" fontId="9" fillId="0" borderId="0" xfId="0" applyNumberFormat="1" applyFont="1">
      <alignment vertical="center"/>
    </xf>
    <xf numFmtId="0" fontId="9" fillId="0" borderId="0" xfId="0" applyFont="1" applyAlignment="1">
      <alignment horizontal="center" vertical="center"/>
    </xf>
    <xf numFmtId="56" fontId="9" fillId="0" borderId="0" xfId="0" applyNumberFormat="1" applyFont="1">
      <alignment vertical="center"/>
    </xf>
    <xf numFmtId="181" fontId="9" fillId="0" borderId="0" xfId="0" applyNumberFormat="1" applyFont="1" applyAlignment="1">
      <alignment horizontal="left" vertical="center"/>
    </xf>
    <xf numFmtId="0" fontId="9" fillId="2" borderId="0" xfId="0" applyFont="1" applyFill="1">
      <alignment vertical="center"/>
    </xf>
    <xf numFmtId="0" fontId="14" fillId="0" borderId="0" xfId="0" applyFont="1">
      <alignment vertical="center"/>
    </xf>
    <xf numFmtId="180" fontId="9" fillId="0" borderId="0" xfId="0" applyNumberFormat="1" applyFont="1" applyAlignment="1">
      <alignment horizontal="center" vertical="center"/>
    </xf>
    <xf numFmtId="49" fontId="9" fillId="0" borderId="66" xfId="0" applyNumberFormat="1" applyFont="1" applyBorder="1" applyAlignment="1">
      <alignment horizontal="center" vertical="center"/>
    </xf>
    <xf numFmtId="49" fontId="9" fillId="0" borderId="36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5" fillId="0" borderId="15" xfId="0" applyFont="1" applyBorder="1" applyAlignment="1">
      <alignment horizontal="distributed" vertical="center"/>
    </xf>
    <xf numFmtId="0" fontId="15" fillId="0" borderId="15" xfId="0" applyFont="1" applyBorder="1" applyAlignment="1">
      <alignment horizontal="center" vertical="center"/>
    </xf>
    <xf numFmtId="180" fontId="9" fillId="0" borderId="15" xfId="0" applyNumberFormat="1" applyFont="1" applyBorder="1" applyAlignment="1">
      <alignment horizontal="center" vertical="center"/>
    </xf>
    <xf numFmtId="180" fontId="9" fillId="0" borderId="16" xfId="0" applyNumberFormat="1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5" fillId="0" borderId="20" xfId="0" applyFont="1" applyBorder="1" applyAlignment="1">
      <alignment horizontal="distributed" vertical="center"/>
    </xf>
    <xf numFmtId="180" fontId="9" fillId="0" borderId="20" xfId="0" applyNumberFormat="1" applyFont="1" applyBorder="1" applyAlignment="1">
      <alignment horizontal="center" vertical="center"/>
    </xf>
    <xf numFmtId="180" fontId="9" fillId="0" borderId="22" xfId="0" applyNumberFormat="1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15" fillId="3" borderId="20" xfId="0" applyFont="1" applyFill="1" applyBorder="1" applyAlignment="1">
      <alignment horizontal="distributed" vertical="center"/>
    </xf>
    <xf numFmtId="0" fontId="9" fillId="0" borderId="26" xfId="0" applyFont="1" applyBorder="1" applyAlignment="1">
      <alignment horizontal="distributed" vertical="center"/>
    </xf>
    <xf numFmtId="180" fontId="9" fillId="0" borderId="2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distributed" vertical="center"/>
    </xf>
    <xf numFmtId="0" fontId="9" fillId="3" borderId="0" xfId="0" applyFont="1" applyFill="1">
      <alignment vertical="center"/>
    </xf>
    <xf numFmtId="49" fontId="9" fillId="0" borderId="0" xfId="0" applyNumberFormat="1" applyFont="1">
      <alignment vertical="center"/>
    </xf>
    <xf numFmtId="176" fontId="9" fillId="0" borderId="15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176" fontId="9" fillId="0" borderId="20" xfId="0" applyNumberFormat="1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20" xfId="0" applyFont="1" applyBorder="1" applyAlignment="1">
      <alignment horizontal="distributed" vertical="center"/>
    </xf>
    <xf numFmtId="0" fontId="9" fillId="0" borderId="39" xfId="0" applyFont="1" applyBorder="1" applyAlignment="1">
      <alignment horizontal="distributed" vertical="center"/>
    </xf>
    <xf numFmtId="49" fontId="9" fillId="0" borderId="72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6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20" fontId="9" fillId="0" borderId="0" xfId="0" applyNumberFormat="1" applyFont="1" applyAlignment="1">
      <alignment horizontal="left" vertical="center"/>
    </xf>
    <xf numFmtId="20" fontId="9" fillId="0" borderId="0" xfId="0" quotePrefix="1" applyNumberFormat="1" applyFont="1" applyAlignment="1">
      <alignment horizontal="left" vertical="center"/>
    </xf>
    <xf numFmtId="49" fontId="9" fillId="0" borderId="34" xfId="0" applyNumberFormat="1" applyFont="1" applyBorder="1" applyAlignment="1">
      <alignment horizontal="center" vertical="center"/>
    </xf>
    <xf numFmtId="0" fontId="17" fillId="0" borderId="0" xfId="0" applyFont="1">
      <alignment vertical="center"/>
    </xf>
    <xf numFmtId="49" fontId="9" fillId="0" borderId="19" xfId="0" applyNumberFormat="1" applyFont="1" applyBorder="1" applyAlignment="1">
      <alignment horizontal="center" vertical="center"/>
    </xf>
    <xf numFmtId="49" fontId="9" fillId="0" borderId="54" xfId="0" applyNumberFormat="1" applyFont="1" applyBorder="1" applyAlignment="1">
      <alignment horizontal="center" vertical="center"/>
    </xf>
    <xf numFmtId="49" fontId="9" fillId="0" borderId="25" xfId="0" applyNumberFormat="1" applyFont="1" applyBorder="1" applyAlignment="1">
      <alignment horizontal="center" vertical="center"/>
    </xf>
    <xf numFmtId="176" fontId="9" fillId="0" borderId="26" xfId="0" applyNumberFormat="1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distributed" vertical="distributed"/>
    </xf>
    <xf numFmtId="0" fontId="9" fillId="0" borderId="15" xfId="0" applyFont="1" applyBorder="1" applyAlignment="1">
      <alignment horizontal="distributed" vertical="center"/>
    </xf>
    <xf numFmtId="176" fontId="18" fillId="0" borderId="15" xfId="0" applyNumberFormat="1" applyFont="1" applyBorder="1" applyAlignment="1">
      <alignment horizontal="center" vertical="center"/>
    </xf>
    <xf numFmtId="49" fontId="9" fillId="0" borderId="38" xfId="0" applyNumberFormat="1" applyFont="1" applyBorder="1" applyAlignment="1">
      <alignment horizontal="center" vertical="center"/>
    </xf>
    <xf numFmtId="176" fontId="9" fillId="0" borderId="20" xfId="0" applyNumberFormat="1" applyFont="1" applyBorder="1">
      <alignment vertical="center"/>
    </xf>
    <xf numFmtId="0" fontId="9" fillId="0" borderId="20" xfId="0" applyFont="1" applyBorder="1" applyAlignment="1">
      <alignment horizontal="distributed" vertical="distributed"/>
    </xf>
    <xf numFmtId="176" fontId="18" fillId="0" borderId="20" xfId="0" applyNumberFormat="1" applyFont="1" applyBorder="1" applyAlignment="1">
      <alignment horizontal="center" vertical="center"/>
    </xf>
    <xf numFmtId="49" fontId="9" fillId="0" borderId="45" xfId="0" applyNumberFormat="1" applyFont="1" applyBorder="1" applyAlignment="1">
      <alignment horizontal="center" vertical="center"/>
    </xf>
    <xf numFmtId="0" fontId="9" fillId="0" borderId="46" xfId="0" applyFont="1" applyBorder="1" applyAlignment="1">
      <alignment horizontal="distributed" vertical="center"/>
    </xf>
    <xf numFmtId="176" fontId="18" fillId="0" borderId="26" xfId="0" applyNumberFormat="1" applyFont="1" applyBorder="1" applyAlignment="1">
      <alignment horizontal="center" vertical="center"/>
    </xf>
    <xf numFmtId="56" fontId="9" fillId="0" borderId="0" xfId="0" applyNumberFormat="1" applyFont="1" applyAlignment="1">
      <alignment horizontal="right" vertical="center"/>
    </xf>
    <xf numFmtId="0" fontId="9" fillId="0" borderId="50" xfId="0" applyFont="1" applyBorder="1">
      <alignment vertical="center"/>
    </xf>
    <xf numFmtId="49" fontId="9" fillId="0" borderId="87" xfId="0" applyNumberFormat="1" applyFont="1" applyBorder="1" applyAlignment="1">
      <alignment horizontal="center" vertical="center"/>
    </xf>
    <xf numFmtId="0" fontId="9" fillId="0" borderId="51" xfId="0" applyFont="1" applyBorder="1">
      <alignment vertical="center"/>
    </xf>
    <xf numFmtId="0" fontId="9" fillId="0" borderId="88" xfId="0" applyFont="1" applyBorder="1">
      <alignment vertical="center"/>
    </xf>
    <xf numFmtId="0" fontId="9" fillId="0" borderId="4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63" xfId="0" applyFont="1" applyBorder="1" applyAlignment="1">
      <alignment horizontal="distributed" vertical="center"/>
    </xf>
    <xf numFmtId="0" fontId="10" fillId="0" borderId="0" xfId="0" applyFont="1" applyAlignment="1">
      <alignment horizontal="distributed" vertical="center"/>
    </xf>
    <xf numFmtId="0" fontId="10" fillId="0" borderId="49" xfId="0" applyFont="1" applyBorder="1">
      <alignment vertical="center"/>
    </xf>
    <xf numFmtId="0" fontId="10" fillId="0" borderId="50" xfId="0" applyFont="1" applyBorder="1">
      <alignment vertical="center"/>
    </xf>
    <xf numFmtId="0" fontId="10" fillId="0" borderId="50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52" xfId="0" applyFont="1" applyBorder="1">
      <alignment vertical="center"/>
    </xf>
    <xf numFmtId="0" fontId="10" fillId="0" borderId="60" xfId="0" applyFont="1" applyBorder="1" applyAlignment="1">
      <alignment horizontal="center" vertical="center"/>
    </xf>
    <xf numFmtId="0" fontId="10" fillId="0" borderId="56" xfId="0" applyFont="1" applyBorder="1">
      <alignment vertical="center"/>
    </xf>
    <xf numFmtId="0" fontId="10" fillId="0" borderId="58" xfId="0" applyFont="1" applyBorder="1">
      <alignment vertical="center"/>
    </xf>
    <xf numFmtId="0" fontId="10" fillId="0" borderId="0" xfId="0" applyFont="1" applyAlignment="1">
      <alignment vertical="center" justifyLastLine="1"/>
    </xf>
    <xf numFmtId="0" fontId="10" fillId="0" borderId="0" xfId="0" applyFont="1" applyAlignment="1">
      <alignment horizontal="left" vertical="center"/>
    </xf>
    <xf numFmtId="0" fontId="10" fillId="0" borderId="66" xfId="0" applyFont="1" applyBorder="1" applyAlignment="1">
      <alignment horizontal="center" vertical="center" shrinkToFit="1"/>
    </xf>
    <xf numFmtId="0" fontId="10" fillId="0" borderId="57" xfId="0" applyFont="1" applyBorder="1" applyAlignment="1">
      <alignment horizontal="center" vertical="center" shrinkToFit="1"/>
    </xf>
    <xf numFmtId="0" fontId="10" fillId="0" borderId="52" xfId="0" applyFont="1" applyBorder="1" applyAlignment="1">
      <alignment vertical="center" shrinkToFit="1"/>
    </xf>
    <xf numFmtId="0" fontId="10" fillId="0" borderId="53" xfId="0" applyFont="1" applyBorder="1" applyAlignment="1">
      <alignment horizontal="center" vertical="center" shrinkToFit="1"/>
    </xf>
    <xf numFmtId="0" fontId="10" fillId="0" borderId="54" xfId="0" applyFont="1" applyBorder="1" applyAlignment="1">
      <alignment horizontal="center" vertical="center" shrinkToFit="1"/>
    </xf>
    <xf numFmtId="0" fontId="10" fillId="0" borderId="55" xfId="0" applyFont="1" applyBorder="1" applyAlignment="1">
      <alignment horizontal="center" vertical="center" shrinkToFit="1"/>
    </xf>
    <xf numFmtId="0" fontId="10" fillId="0" borderId="56" xfId="0" applyFont="1" applyBorder="1" applyAlignment="1">
      <alignment vertical="center" shrinkToFit="1"/>
    </xf>
    <xf numFmtId="0" fontId="10" fillId="0" borderId="58" xfId="0" applyFont="1" applyBorder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10" fillId="0" borderId="59" xfId="0" applyFont="1" applyBorder="1" applyAlignment="1">
      <alignment horizontal="center" vertical="center" shrinkToFit="1"/>
    </xf>
    <xf numFmtId="0" fontId="10" fillId="0" borderId="60" xfId="0" applyFont="1" applyBorder="1" applyAlignment="1">
      <alignment horizontal="center" vertical="center" shrinkToFit="1"/>
    </xf>
    <xf numFmtId="0" fontId="9" fillId="4" borderId="20" xfId="0" applyFont="1" applyFill="1" applyBorder="1">
      <alignment vertical="center"/>
    </xf>
    <xf numFmtId="0" fontId="15" fillId="0" borderId="18" xfId="0" applyFont="1" applyBorder="1" applyAlignment="1">
      <alignment horizontal="center" vertical="center"/>
    </xf>
    <xf numFmtId="0" fontId="15" fillId="0" borderId="39" xfId="0" applyFont="1" applyBorder="1" applyAlignment="1">
      <alignment horizontal="distributed" vertical="center"/>
    </xf>
    <xf numFmtId="0" fontId="9" fillId="3" borderId="20" xfId="0" applyFont="1" applyFill="1" applyBorder="1" applyAlignment="1">
      <alignment horizontal="distributed" vertical="center"/>
    </xf>
    <xf numFmtId="0" fontId="15" fillId="0" borderId="13" xfId="0" applyFont="1" applyBorder="1" applyAlignment="1">
      <alignment horizontal="center" vertical="center"/>
    </xf>
    <xf numFmtId="178" fontId="10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178" fontId="9" fillId="0" borderId="0" xfId="0" applyNumberFormat="1" applyFont="1">
      <alignment vertical="center"/>
    </xf>
    <xf numFmtId="180" fontId="9" fillId="0" borderId="13" xfId="0" applyNumberFormat="1" applyFont="1" applyBorder="1" applyAlignment="1">
      <alignment horizontal="center" vertical="center"/>
    </xf>
    <xf numFmtId="180" fontId="9" fillId="0" borderId="21" xfId="0" applyNumberFormat="1" applyFont="1" applyBorder="1" applyAlignment="1">
      <alignment horizontal="center" vertical="center"/>
    </xf>
    <xf numFmtId="0" fontId="9" fillId="0" borderId="75" xfId="0" applyFont="1" applyBorder="1">
      <alignment vertical="center"/>
    </xf>
    <xf numFmtId="0" fontId="9" fillId="0" borderId="67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9" fillId="0" borderId="30" xfId="0" applyFont="1" applyBorder="1">
      <alignment vertical="center"/>
    </xf>
    <xf numFmtId="0" fontId="9" fillId="2" borderId="71" xfId="0" applyFont="1" applyFill="1" applyBorder="1">
      <alignment vertical="center"/>
    </xf>
    <xf numFmtId="0" fontId="9" fillId="0" borderId="30" xfId="0" applyFont="1" applyBorder="1" applyAlignment="1">
      <alignment horizontal="center" vertical="center"/>
    </xf>
    <xf numFmtId="0" fontId="9" fillId="0" borderId="33" xfId="0" applyFont="1" applyBorder="1">
      <alignment vertical="center"/>
    </xf>
    <xf numFmtId="0" fontId="9" fillId="2" borderId="27" xfId="0" applyFont="1" applyFill="1" applyBorder="1">
      <alignment vertical="center"/>
    </xf>
    <xf numFmtId="0" fontId="15" fillId="0" borderId="26" xfId="0" applyFont="1" applyBorder="1" applyAlignment="1">
      <alignment horizontal="center" vertical="center"/>
    </xf>
    <xf numFmtId="0" fontId="15" fillId="0" borderId="26" xfId="0" applyFont="1" applyBorder="1" applyAlignment="1">
      <alignment horizontal="distributed" vertical="center"/>
    </xf>
    <xf numFmtId="0" fontId="9" fillId="0" borderId="33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/>
    </xf>
    <xf numFmtId="180" fontId="9" fillId="0" borderId="14" xfId="0" applyNumberFormat="1" applyFont="1" applyBorder="1" applyAlignment="1">
      <alignment horizontal="center" vertical="center"/>
    </xf>
    <xf numFmtId="180" fontId="9" fillId="0" borderId="25" xfId="0" applyNumberFormat="1" applyFont="1" applyBorder="1" applyAlignment="1">
      <alignment horizontal="center" vertical="center"/>
    </xf>
    <xf numFmtId="0" fontId="15" fillId="0" borderId="55" xfId="0" applyFont="1" applyBorder="1" applyAlignment="1">
      <alignment horizontal="distributed" vertical="center"/>
    </xf>
    <xf numFmtId="49" fontId="15" fillId="0" borderId="59" xfId="0" applyNumberFormat="1" applyFont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5" fillId="0" borderId="22" xfId="0" applyFont="1" applyBorder="1" applyAlignment="1">
      <alignment horizontal="distributed" vertical="center"/>
    </xf>
    <xf numFmtId="0" fontId="15" fillId="0" borderId="53" xfId="0" applyFont="1" applyBorder="1" applyAlignment="1">
      <alignment horizontal="distributed" vertical="center"/>
    </xf>
    <xf numFmtId="0" fontId="15" fillId="0" borderId="24" xfId="0" applyFont="1" applyBorder="1" applyAlignment="1">
      <alignment horizontal="center" vertical="center"/>
    </xf>
    <xf numFmtId="56" fontId="10" fillId="0" borderId="0" xfId="0" applyNumberFormat="1" applyFont="1" applyAlignment="1">
      <alignment horizontal="center" vertical="center"/>
    </xf>
    <xf numFmtId="176" fontId="9" fillId="0" borderId="59" xfId="0" applyNumberFormat="1" applyFont="1" applyBorder="1" applyAlignment="1" applyProtection="1">
      <alignment horizontal="center" vertical="center"/>
      <protection locked="0"/>
    </xf>
    <xf numFmtId="176" fontId="9" fillId="0" borderId="65" xfId="0" applyNumberFormat="1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>
      <alignment horizontal="distributed" vertical="center"/>
    </xf>
    <xf numFmtId="49" fontId="9" fillId="0" borderId="62" xfId="0" applyNumberFormat="1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20" xfId="0" applyFont="1" applyBorder="1" applyAlignment="1">
      <alignment horizontal="justify" vertical="center"/>
    </xf>
    <xf numFmtId="176" fontId="9" fillId="0" borderId="15" xfId="0" applyNumberFormat="1" applyFont="1" applyBorder="1" applyAlignment="1" applyProtection="1">
      <alignment horizontal="center" vertical="center"/>
      <protection locked="0"/>
    </xf>
    <xf numFmtId="176" fontId="9" fillId="0" borderId="20" xfId="0" applyNumberFormat="1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distributed" vertical="center"/>
    </xf>
    <xf numFmtId="182" fontId="9" fillId="0" borderId="15" xfId="0" applyNumberFormat="1" applyFont="1" applyBorder="1" applyAlignment="1">
      <alignment horizontal="center" vertical="center"/>
    </xf>
    <xf numFmtId="182" fontId="9" fillId="0" borderId="16" xfId="0" applyNumberFormat="1" applyFont="1" applyBorder="1" applyAlignment="1">
      <alignment horizontal="center" vertical="center"/>
    </xf>
    <xf numFmtId="182" fontId="9" fillId="0" borderId="20" xfId="0" applyNumberFormat="1" applyFont="1" applyBorder="1" applyAlignment="1">
      <alignment horizontal="center" vertical="center"/>
    </xf>
    <xf numFmtId="182" fontId="9" fillId="0" borderId="53" xfId="0" applyNumberFormat="1" applyFont="1" applyBorder="1" applyAlignment="1">
      <alignment horizontal="center" vertical="center"/>
    </xf>
    <xf numFmtId="182" fontId="15" fillId="0" borderId="20" xfId="0" applyNumberFormat="1" applyFont="1" applyBorder="1" applyAlignment="1">
      <alignment horizontal="center" vertical="center"/>
    </xf>
    <xf numFmtId="180" fontId="9" fillId="0" borderId="19" xfId="0" applyNumberFormat="1" applyFont="1" applyBorder="1" applyAlignment="1">
      <alignment horizontal="center" vertical="center"/>
    </xf>
    <xf numFmtId="0" fontId="15" fillId="0" borderId="16" xfId="0" applyFont="1" applyBorder="1" applyAlignment="1">
      <alignment horizontal="distributed" vertical="center"/>
    </xf>
    <xf numFmtId="0" fontId="9" fillId="0" borderId="58" xfId="0" applyFont="1" applyBorder="1" applyAlignment="1">
      <alignment horizontal="center" vertical="center"/>
    </xf>
    <xf numFmtId="177" fontId="9" fillId="0" borderId="59" xfId="0" applyNumberFormat="1" applyFont="1" applyBorder="1" applyAlignment="1">
      <alignment horizontal="center" vertical="center"/>
    </xf>
    <xf numFmtId="177" fontId="9" fillId="0" borderId="15" xfId="0" applyNumberFormat="1" applyFont="1" applyBorder="1" applyAlignment="1">
      <alignment horizontal="center" vertical="center"/>
    </xf>
    <xf numFmtId="177" fontId="9" fillId="0" borderId="16" xfId="0" applyNumberFormat="1" applyFont="1" applyBorder="1" applyAlignment="1">
      <alignment horizontal="center" vertical="center"/>
    </xf>
    <xf numFmtId="177" fontId="9" fillId="0" borderId="65" xfId="0" applyNumberFormat="1" applyFont="1" applyBorder="1" applyAlignment="1">
      <alignment horizontal="center" vertical="center"/>
    </xf>
    <xf numFmtId="177" fontId="9" fillId="0" borderId="20" xfId="0" applyNumberFormat="1" applyFont="1" applyBorder="1" applyAlignment="1">
      <alignment horizontal="center" vertical="center"/>
    </xf>
    <xf numFmtId="177" fontId="9" fillId="0" borderId="53" xfId="0" applyNumberFormat="1" applyFont="1" applyBorder="1" applyAlignment="1">
      <alignment horizontal="center" vertical="center"/>
    </xf>
    <xf numFmtId="0" fontId="9" fillId="0" borderId="32" xfId="0" applyFont="1" applyBorder="1">
      <alignment vertical="center"/>
    </xf>
    <xf numFmtId="179" fontId="9" fillId="0" borderId="50" xfId="0" applyNumberFormat="1" applyFont="1" applyBorder="1" applyAlignment="1">
      <alignment horizontal="center" vertical="center"/>
    </xf>
    <xf numFmtId="0" fontId="9" fillId="0" borderId="27" xfId="0" applyFont="1" applyBorder="1">
      <alignment vertical="center"/>
    </xf>
    <xf numFmtId="0" fontId="9" fillId="0" borderId="10" xfId="0" applyFont="1" applyBorder="1" applyAlignment="1">
      <alignment horizontal="center" vertical="center"/>
    </xf>
    <xf numFmtId="0" fontId="9" fillId="2" borderId="77" xfId="0" applyFont="1" applyFill="1" applyBorder="1" applyAlignment="1">
      <alignment horizontal="center" vertical="center"/>
    </xf>
    <xf numFmtId="0" fontId="9" fillId="2" borderId="76" xfId="0" applyFont="1" applyFill="1" applyBorder="1">
      <alignment vertical="center"/>
    </xf>
    <xf numFmtId="0" fontId="9" fillId="2" borderId="88" xfId="0" applyFont="1" applyFill="1" applyBorder="1">
      <alignment vertical="center"/>
    </xf>
    <xf numFmtId="0" fontId="9" fillId="2" borderId="90" xfId="0" applyFont="1" applyFill="1" applyBorder="1">
      <alignment vertical="center"/>
    </xf>
    <xf numFmtId="0" fontId="9" fillId="0" borderId="17" xfId="0" applyFont="1" applyBorder="1" applyAlignment="1" applyProtection="1">
      <alignment horizontal="center" vertical="center"/>
      <protection locked="0"/>
    </xf>
    <xf numFmtId="182" fontId="9" fillId="0" borderId="62" xfId="0" applyNumberFormat="1" applyFont="1" applyBorder="1" applyAlignment="1" applyProtection="1">
      <alignment horizontal="center" vertical="center"/>
      <protection locked="0"/>
    </xf>
    <xf numFmtId="182" fontId="9" fillId="0" borderId="39" xfId="0" applyNumberFormat="1" applyFont="1" applyBorder="1" applyAlignment="1" applyProtection="1">
      <alignment horizontal="center" vertical="center"/>
      <protection locked="0"/>
    </xf>
    <xf numFmtId="182" fontId="9" fillId="0" borderId="22" xfId="0" applyNumberFormat="1" applyFont="1" applyBorder="1" applyAlignment="1" applyProtection="1">
      <alignment horizontal="center" vertical="center"/>
      <protection locked="0"/>
    </xf>
    <xf numFmtId="176" fontId="9" fillId="0" borderId="16" xfId="0" applyNumberFormat="1" applyFont="1" applyBorder="1" applyAlignment="1" applyProtection="1">
      <alignment horizontal="center" vertical="center"/>
      <protection locked="0"/>
    </xf>
    <xf numFmtId="176" fontId="9" fillId="0" borderId="53" xfId="0" applyNumberFormat="1" applyFont="1" applyBorder="1" applyAlignment="1" applyProtection="1">
      <alignment horizontal="center" vertical="center"/>
      <protection locked="0"/>
    </xf>
    <xf numFmtId="177" fontId="9" fillId="0" borderId="18" xfId="0" applyNumberFormat="1" applyFont="1" applyBorder="1" applyAlignment="1">
      <alignment horizontal="center" vertical="center"/>
    </xf>
    <xf numFmtId="177" fontId="9" fillId="0" borderId="32" xfId="0" applyNumberFormat="1" applyFont="1" applyBorder="1" applyAlignment="1">
      <alignment horizontal="center" vertical="center"/>
    </xf>
    <xf numFmtId="177" fontId="9" fillId="0" borderId="21" xfId="0" applyNumberFormat="1" applyFont="1" applyBorder="1" applyAlignment="1">
      <alignment horizontal="center" vertical="center"/>
    </xf>
    <xf numFmtId="177" fontId="9" fillId="0" borderId="31" xfId="0" applyNumberFormat="1" applyFont="1" applyBorder="1" applyAlignment="1">
      <alignment horizontal="center" vertical="center"/>
    </xf>
    <xf numFmtId="176" fontId="9" fillId="0" borderId="31" xfId="0" applyNumberFormat="1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81" xfId="0" applyFont="1" applyBorder="1" applyAlignment="1" applyProtection="1">
      <alignment horizontal="center" vertical="center"/>
      <protection locked="0"/>
    </xf>
    <xf numFmtId="1" fontId="9" fillId="0" borderId="31" xfId="0" applyNumberFormat="1" applyFont="1" applyBorder="1" applyAlignment="1" applyProtection="1">
      <alignment horizontal="center" vertical="center"/>
      <protection locked="0"/>
    </xf>
    <xf numFmtId="1" fontId="9" fillId="0" borderId="33" xfId="0" applyNumberFormat="1" applyFont="1" applyBorder="1" applyAlignment="1" applyProtection="1">
      <alignment horizontal="center" vertical="center"/>
      <protection locked="0"/>
    </xf>
    <xf numFmtId="179" fontId="9" fillId="0" borderId="12" xfId="0" applyNumberFormat="1" applyFont="1" applyBorder="1" applyAlignment="1">
      <alignment horizontal="center" vertical="center"/>
    </xf>
    <xf numFmtId="179" fontId="9" fillId="0" borderId="17" xfId="0" applyNumberFormat="1" applyFont="1" applyBorder="1" applyAlignment="1">
      <alignment horizontal="center" vertical="center"/>
    </xf>
    <xf numFmtId="182" fontId="9" fillId="0" borderId="12" xfId="0" applyNumberFormat="1" applyFont="1" applyBorder="1" applyAlignment="1">
      <alignment horizontal="center" vertical="center"/>
    </xf>
    <xf numFmtId="182" fontId="9" fillId="0" borderId="17" xfId="0" applyNumberFormat="1" applyFont="1" applyBorder="1" applyAlignment="1">
      <alignment horizontal="center" vertical="center"/>
    </xf>
    <xf numFmtId="49" fontId="9" fillId="0" borderId="65" xfId="0" applyNumberFormat="1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179" fontId="11" fillId="0" borderId="30" xfId="0" applyNumberFormat="1" applyFont="1" applyBorder="1" applyAlignment="1">
      <alignment horizontal="distributed" vertical="center"/>
    </xf>
    <xf numFmtId="179" fontId="11" fillId="0" borderId="31" xfId="0" applyNumberFormat="1" applyFont="1" applyBorder="1" applyAlignment="1">
      <alignment horizontal="distributed" vertical="center"/>
    </xf>
    <xf numFmtId="177" fontId="9" fillId="0" borderId="40" xfId="0" applyNumberFormat="1" applyFont="1" applyBorder="1" applyAlignment="1">
      <alignment horizontal="center" vertical="center"/>
    </xf>
    <xf numFmtId="1" fontId="9" fillId="2" borderId="40" xfId="0" applyNumberFormat="1" applyFont="1" applyFill="1" applyBorder="1" applyAlignment="1" applyProtection="1">
      <alignment horizontal="distributed" vertical="center"/>
      <protection locked="0"/>
    </xf>
    <xf numFmtId="0" fontId="9" fillId="0" borderId="35" xfId="0" applyFont="1" applyBorder="1" applyAlignment="1">
      <alignment horizontal="distributed" vertical="center"/>
    </xf>
    <xf numFmtId="0" fontId="9" fillId="0" borderId="25" xfId="0" applyFont="1" applyBorder="1" applyAlignment="1">
      <alignment horizontal="center" vertical="center"/>
    </xf>
    <xf numFmtId="182" fontId="9" fillId="0" borderId="54" xfId="0" applyNumberFormat="1" applyFont="1" applyBorder="1" applyAlignment="1" applyProtection="1">
      <alignment horizontal="center" vertical="center"/>
      <protection locked="0"/>
    </xf>
    <xf numFmtId="182" fontId="9" fillId="0" borderId="26" xfId="0" applyNumberFormat="1" applyFont="1" applyBorder="1" applyAlignment="1" applyProtection="1">
      <alignment horizontal="center" vertical="center"/>
      <protection locked="0"/>
    </xf>
    <xf numFmtId="182" fontId="9" fillId="0" borderId="55" xfId="0" applyNumberFormat="1" applyFont="1" applyBorder="1" applyAlignment="1" applyProtection="1">
      <alignment horizontal="center" vertical="center"/>
      <protection locked="0"/>
    </xf>
    <xf numFmtId="179" fontId="11" fillId="0" borderId="29" xfId="0" applyNumberFormat="1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177" fontId="9" fillId="0" borderId="86" xfId="0" applyNumberFormat="1" applyFont="1" applyBorder="1" applyAlignment="1">
      <alignment horizontal="center" vertical="center"/>
    </xf>
    <xf numFmtId="49" fontId="9" fillId="0" borderId="10" xfId="0" applyNumberFormat="1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83" fontId="9" fillId="0" borderId="0" xfId="0" applyNumberFormat="1" applyFont="1">
      <alignment vertical="center"/>
    </xf>
    <xf numFmtId="56" fontId="9" fillId="0" borderId="0" xfId="0" applyNumberFormat="1" applyFont="1" applyAlignment="1">
      <alignment horizontal="left" vertical="center"/>
    </xf>
    <xf numFmtId="1" fontId="9" fillId="2" borderId="20" xfId="0" applyNumberFormat="1" applyFont="1" applyFill="1" applyBorder="1" applyAlignment="1" applyProtection="1">
      <alignment horizontal="distributed" vertical="center"/>
      <protection locked="0"/>
    </xf>
    <xf numFmtId="182" fontId="9" fillId="0" borderId="65" xfId="0" applyNumberFormat="1" applyFont="1" applyBorder="1" applyAlignment="1" applyProtection="1">
      <alignment horizontal="center" vertical="center"/>
      <protection locked="0"/>
    </xf>
    <xf numFmtId="182" fontId="9" fillId="0" borderId="20" xfId="0" applyNumberFormat="1" applyFont="1" applyBorder="1" applyAlignment="1" applyProtection="1">
      <alignment horizontal="center" vertical="center"/>
      <protection locked="0"/>
    </xf>
    <xf numFmtId="182" fontId="9" fillId="0" borderId="53" xfId="0" applyNumberFormat="1" applyFont="1" applyBorder="1" applyAlignment="1" applyProtection="1">
      <alignment horizontal="center" vertical="center"/>
      <protection locked="0"/>
    </xf>
    <xf numFmtId="182" fontId="9" fillId="0" borderId="17" xfId="0" applyNumberFormat="1" applyFont="1" applyBorder="1" applyAlignment="1" applyProtection="1">
      <alignment horizontal="center" vertical="center"/>
      <protection locked="0"/>
    </xf>
    <xf numFmtId="1" fontId="9" fillId="0" borderId="32" xfId="0" applyNumberFormat="1" applyFont="1" applyBorder="1" applyAlignment="1" applyProtection="1">
      <alignment horizontal="center" vertical="center"/>
      <protection locked="0"/>
    </xf>
    <xf numFmtId="182" fontId="9" fillId="0" borderId="89" xfId="0" applyNumberFormat="1" applyFont="1" applyBorder="1" applyAlignment="1" applyProtection="1">
      <alignment horizontal="center" vertical="center"/>
      <protection locked="0"/>
    </xf>
    <xf numFmtId="182" fontId="9" fillId="0" borderId="23" xfId="0" applyNumberFormat="1" applyFont="1" applyBorder="1" applyAlignment="1" applyProtection="1">
      <alignment horizontal="center" vertical="center"/>
      <protection locked="0"/>
    </xf>
    <xf numFmtId="176" fontId="9" fillId="0" borderId="65" xfId="0" applyNumberFormat="1" applyFont="1" applyBorder="1" applyAlignment="1">
      <alignment horizontal="center" vertical="center"/>
    </xf>
    <xf numFmtId="0" fontId="9" fillId="0" borderId="52" xfId="0" applyFont="1" applyBorder="1">
      <alignment vertical="center"/>
    </xf>
    <xf numFmtId="49" fontId="9" fillId="0" borderId="85" xfId="0" applyNumberFormat="1" applyFont="1" applyBorder="1" applyAlignment="1">
      <alignment horizontal="center" vertical="center"/>
    </xf>
    <xf numFmtId="176" fontId="9" fillId="0" borderId="84" xfId="0" applyNumberFormat="1" applyFont="1" applyBorder="1" applyAlignment="1">
      <alignment horizontal="center" vertical="center"/>
    </xf>
    <xf numFmtId="176" fontId="9" fillId="0" borderId="94" xfId="0" applyNumberFormat="1" applyFont="1" applyBorder="1" applyAlignment="1">
      <alignment horizontal="center" vertical="center"/>
    </xf>
    <xf numFmtId="0" fontId="0" fillId="0" borderId="31" xfId="0" applyBorder="1" applyAlignment="1" applyProtection="1">
      <alignment horizontal="center" vertical="center"/>
      <protection locked="0"/>
    </xf>
    <xf numFmtId="0" fontId="9" fillId="0" borderId="83" xfId="0" applyFont="1" applyBorder="1" applyAlignment="1">
      <alignment horizontal="distributed" vertical="distributed"/>
    </xf>
    <xf numFmtId="49" fontId="9" fillId="0" borderId="20" xfId="0" applyNumberFormat="1" applyFont="1" applyBorder="1" applyAlignment="1">
      <alignment horizontal="center" vertical="center"/>
    </xf>
    <xf numFmtId="176" fontId="9" fillId="0" borderId="73" xfId="0" applyNumberFormat="1" applyFont="1" applyBorder="1" applyAlignment="1">
      <alignment horizontal="center" vertical="center"/>
    </xf>
    <xf numFmtId="176" fontId="9" fillId="0" borderId="72" xfId="0" applyNumberFormat="1" applyFont="1" applyBorder="1" applyAlignment="1">
      <alignment horizontal="center" vertical="center"/>
    </xf>
    <xf numFmtId="176" fontId="18" fillId="0" borderId="72" xfId="0" applyNumberFormat="1" applyFont="1" applyBorder="1" applyAlignment="1">
      <alignment horizontal="center" vertical="center"/>
    </xf>
    <xf numFmtId="0" fontId="9" fillId="0" borderId="81" xfId="0" applyFont="1" applyBorder="1" applyAlignment="1">
      <alignment horizontal="center" vertical="center"/>
    </xf>
    <xf numFmtId="0" fontId="9" fillId="0" borderId="94" xfId="0" applyFont="1" applyBorder="1">
      <alignment vertical="center"/>
    </xf>
    <xf numFmtId="0" fontId="15" fillId="0" borderId="20" xfId="0" applyFont="1" applyBorder="1" applyAlignment="1">
      <alignment horizontal="center" vertical="center"/>
    </xf>
    <xf numFmtId="180" fontId="9" fillId="0" borderId="65" xfId="0" applyNumberFormat="1" applyFont="1" applyBorder="1" applyAlignment="1">
      <alignment horizontal="center" vertical="center"/>
    </xf>
    <xf numFmtId="180" fontId="9" fillId="0" borderId="93" xfId="0" applyNumberFormat="1" applyFont="1" applyBorder="1" applyAlignment="1">
      <alignment horizontal="center" vertical="center"/>
    </xf>
    <xf numFmtId="180" fontId="9" fillId="0" borderId="83" xfId="0" applyNumberFormat="1" applyFont="1" applyBorder="1" applyAlignment="1">
      <alignment horizontal="center" vertical="center"/>
    </xf>
    <xf numFmtId="180" fontId="9" fillId="0" borderId="74" xfId="0" applyNumberFormat="1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9" fillId="2" borderId="63" xfId="0" applyFont="1" applyFill="1" applyBorder="1">
      <alignment vertical="center"/>
    </xf>
    <xf numFmtId="0" fontId="9" fillId="3" borderId="26" xfId="0" applyFont="1" applyFill="1" applyBorder="1" applyAlignment="1">
      <alignment horizontal="distributed" vertical="center"/>
    </xf>
    <xf numFmtId="0" fontId="15" fillId="0" borderId="61" xfId="0" applyFont="1" applyBorder="1" applyAlignment="1">
      <alignment horizontal="distributed" vertical="center"/>
    </xf>
    <xf numFmtId="0" fontId="15" fillId="0" borderId="63" xfId="0" applyFont="1" applyBorder="1" applyAlignment="1">
      <alignment horizontal="distributed" vertical="center"/>
    </xf>
    <xf numFmtId="0" fontId="15" fillId="0" borderId="35" xfId="0" applyFont="1" applyBorder="1" applyAlignment="1">
      <alignment horizontal="distributed" vertical="center"/>
    </xf>
    <xf numFmtId="180" fontId="9" fillId="0" borderId="59" xfId="0" applyNumberFormat="1" applyFont="1" applyBorder="1" applyAlignment="1">
      <alignment horizontal="center" vertical="center"/>
    </xf>
    <xf numFmtId="180" fontId="9" fillId="0" borderId="53" xfId="0" applyNumberFormat="1" applyFont="1" applyBorder="1" applyAlignment="1">
      <alignment horizontal="center" vertical="center"/>
    </xf>
    <xf numFmtId="180" fontId="9" fillId="0" borderId="54" xfId="0" applyNumberFormat="1" applyFont="1" applyBorder="1" applyAlignment="1">
      <alignment horizontal="center" vertical="center"/>
    </xf>
    <xf numFmtId="180" fontId="9" fillId="0" borderId="55" xfId="0" applyNumberFormat="1" applyFont="1" applyBorder="1" applyAlignment="1">
      <alignment horizontal="center" vertical="center"/>
    </xf>
    <xf numFmtId="180" fontId="9" fillId="0" borderId="30" xfId="0" applyNumberFormat="1" applyFont="1" applyBorder="1" applyAlignment="1">
      <alignment horizontal="center" vertical="center"/>
    </xf>
    <xf numFmtId="180" fontId="9" fillId="0" borderId="31" xfId="0" applyNumberFormat="1" applyFont="1" applyBorder="1" applyAlignment="1">
      <alignment horizontal="center" vertical="center"/>
    </xf>
    <xf numFmtId="180" fontId="9" fillId="0" borderId="52" xfId="0" applyNumberFormat="1" applyFont="1" applyBorder="1" applyAlignment="1">
      <alignment horizontal="center" vertical="center"/>
    </xf>
    <xf numFmtId="180" fontId="9" fillId="0" borderId="32" xfId="0" applyNumberFormat="1" applyFont="1" applyBorder="1" applyAlignment="1">
      <alignment horizontal="center" vertical="center"/>
    </xf>
    <xf numFmtId="180" fontId="9" fillId="0" borderId="33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9" fillId="0" borderId="94" xfId="0" applyFont="1" applyBorder="1" applyAlignment="1">
      <alignment horizontal="center" vertical="center"/>
    </xf>
    <xf numFmtId="0" fontId="15" fillId="0" borderId="13" xfId="0" applyFont="1" applyBorder="1" applyAlignment="1">
      <alignment horizontal="distributed" vertical="center"/>
    </xf>
    <xf numFmtId="182" fontId="9" fillId="0" borderId="19" xfId="0" applyNumberFormat="1" applyFont="1" applyBorder="1" applyAlignment="1">
      <alignment horizontal="center" vertical="center"/>
    </xf>
    <xf numFmtId="182" fontId="9" fillId="0" borderId="38" xfId="0" applyNumberFormat="1" applyFont="1" applyBorder="1" applyAlignment="1">
      <alignment horizontal="center" vertical="center"/>
    </xf>
    <xf numFmtId="0" fontId="9" fillId="3" borderId="46" xfId="0" applyFont="1" applyFill="1" applyBorder="1" applyAlignment="1">
      <alignment horizontal="distributed" vertical="center"/>
    </xf>
    <xf numFmtId="0" fontId="9" fillId="0" borderId="28" xfId="0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9" fillId="0" borderId="97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9" fillId="0" borderId="65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79" fontId="11" fillId="0" borderId="31" xfId="0" applyNumberFormat="1" applyFont="1" applyBorder="1" applyAlignment="1">
      <alignment horizontal="center" vertical="center"/>
    </xf>
    <xf numFmtId="179" fontId="11" fillId="0" borderId="40" xfId="0" applyNumberFormat="1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83" xfId="0" applyFont="1" applyBorder="1" applyAlignment="1">
      <alignment horizontal="center" vertical="center" wrapText="1"/>
    </xf>
    <xf numFmtId="0" fontId="9" fillId="0" borderId="64" xfId="0" applyFont="1" applyBorder="1" applyAlignment="1">
      <alignment horizontal="center" vertical="center"/>
    </xf>
    <xf numFmtId="0" fontId="9" fillId="0" borderId="91" xfId="0" applyFont="1" applyBorder="1" applyAlignment="1">
      <alignment horizontal="center" vertical="center"/>
    </xf>
    <xf numFmtId="0" fontId="11" fillId="0" borderId="77" xfId="0" applyFont="1" applyBorder="1" applyAlignment="1">
      <alignment horizontal="center" vertical="center"/>
    </xf>
    <xf numFmtId="0" fontId="11" fillId="0" borderId="56" xfId="0" applyFont="1" applyBorder="1" applyAlignment="1">
      <alignment horizontal="center" vertical="center"/>
    </xf>
    <xf numFmtId="0" fontId="11" fillId="0" borderId="81" xfId="0" applyFont="1" applyBorder="1" applyAlignment="1">
      <alignment horizontal="center" vertical="center"/>
    </xf>
    <xf numFmtId="179" fontId="11" fillId="0" borderId="57" xfId="0" applyNumberFormat="1" applyFont="1" applyBorder="1" applyAlignment="1">
      <alignment horizontal="distributed" vertical="center"/>
    </xf>
    <xf numFmtId="0" fontId="11" fillId="0" borderId="20" xfId="0" applyFont="1" applyBorder="1" applyAlignment="1">
      <alignment horizontal="distributed" vertical="center"/>
    </xf>
    <xf numFmtId="179" fontId="11" fillId="0" borderId="39" xfId="0" applyNumberFormat="1" applyFont="1" applyBorder="1" applyAlignment="1">
      <alignment horizontal="center" vertical="center" shrinkToFit="1"/>
    </xf>
    <xf numFmtId="179" fontId="11" fillId="0" borderId="16" xfId="0" applyNumberFormat="1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/>
    </xf>
    <xf numFmtId="179" fontId="11" fillId="0" borderId="51" xfId="0" applyNumberFormat="1" applyFont="1" applyBorder="1" applyAlignment="1">
      <alignment horizontal="distributed" vertical="center"/>
    </xf>
    <xf numFmtId="0" fontId="11" fillId="0" borderId="89" xfId="0" applyFont="1" applyBorder="1" applyAlignment="1">
      <alignment horizontal="center" vertical="center"/>
    </xf>
    <xf numFmtId="179" fontId="11" fillId="0" borderId="20" xfId="0" applyNumberFormat="1" applyFont="1" applyBorder="1" applyAlignment="1">
      <alignment horizontal="distributed" vertical="center"/>
    </xf>
    <xf numFmtId="179" fontId="11" fillId="0" borderId="77" xfId="0" applyNumberFormat="1" applyFont="1" applyBorder="1" applyAlignment="1">
      <alignment horizontal="center" vertical="center"/>
    </xf>
    <xf numFmtId="0" fontId="11" fillId="0" borderId="30" xfId="0" applyFont="1" applyBorder="1">
      <alignment vertical="center"/>
    </xf>
    <xf numFmtId="179" fontId="11" fillId="0" borderId="59" xfId="0" applyNumberFormat="1" applyFont="1" applyBorder="1" applyAlignment="1">
      <alignment horizontal="distributed" vertical="center"/>
    </xf>
    <xf numFmtId="179" fontId="11" fillId="0" borderId="20" xfId="0" applyNumberFormat="1" applyFont="1" applyBorder="1" applyAlignment="1">
      <alignment horizontal="center" vertical="center" shrinkToFit="1"/>
    </xf>
    <xf numFmtId="179" fontId="11" fillId="0" borderId="15" xfId="0" applyNumberFormat="1" applyFont="1" applyBorder="1" applyAlignment="1">
      <alignment horizontal="distributed" vertical="center"/>
    </xf>
    <xf numFmtId="179" fontId="11" fillId="0" borderId="15" xfId="0" applyNumberFormat="1" applyFont="1" applyBorder="1" applyAlignment="1">
      <alignment horizontal="center" vertical="center" shrinkToFi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>
      <alignment vertical="center"/>
    </xf>
    <xf numFmtId="0" fontId="11" fillId="0" borderId="65" xfId="0" applyFont="1" applyBorder="1" applyAlignment="1">
      <alignment horizontal="distributed" vertical="center"/>
    </xf>
    <xf numFmtId="0" fontId="11" fillId="0" borderId="32" xfId="0" applyFont="1" applyBorder="1" applyAlignment="1">
      <alignment horizontal="center" vertical="center"/>
    </xf>
    <xf numFmtId="179" fontId="11" fillId="0" borderId="65" xfId="0" applyNumberFormat="1" applyFont="1" applyBorder="1" applyAlignment="1">
      <alignment horizontal="distributed" vertical="center"/>
    </xf>
    <xf numFmtId="179" fontId="11" fillId="0" borderId="46" xfId="0" applyNumberFormat="1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1" fillId="0" borderId="72" xfId="0" applyFont="1" applyBorder="1" applyAlignment="1">
      <alignment horizontal="center" vertical="center"/>
    </xf>
    <xf numFmtId="0" fontId="11" fillId="0" borderId="98" xfId="0" applyFont="1" applyBorder="1" applyAlignment="1">
      <alignment horizontal="center" vertical="center"/>
    </xf>
    <xf numFmtId="180" fontId="11" fillId="0" borderId="15" xfId="0" applyNumberFormat="1" applyFont="1" applyBorder="1" applyAlignment="1">
      <alignment horizontal="center" vertical="center" shrinkToFit="1"/>
    </xf>
    <xf numFmtId="179" fontId="11" fillId="0" borderId="64" xfId="0" applyNumberFormat="1" applyFont="1" applyBorder="1" applyAlignment="1">
      <alignment horizontal="distributed" vertical="center"/>
    </xf>
    <xf numFmtId="179" fontId="11" fillId="0" borderId="99" xfId="0" applyNumberFormat="1" applyFont="1" applyBorder="1" applyAlignment="1">
      <alignment horizontal="center" vertical="center" shrinkToFit="1"/>
    </xf>
    <xf numFmtId="180" fontId="11" fillId="0" borderId="30" xfId="0" applyNumberFormat="1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>
      <alignment vertical="center"/>
    </xf>
    <xf numFmtId="179" fontId="11" fillId="0" borderId="18" xfId="0" applyNumberFormat="1" applyFont="1" applyBorder="1" applyAlignment="1">
      <alignment horizontal="distributed" vertical="center"/>
    </xf>
    <xf numFmtId="180" fontId="11" fillId="0" borderId="20" xfId="0" applyNumberFormat="1" applyFont="1" applyBorder="1" applyAlignment="1">
      <alignment horizontal="center" vertical="center" shrinkToFit="1"/>
    </xf>
    <xf numFmtId="179" fontId="11" fillId="0" borderId="41" xfId="0" applyNumberFormat="1" applyFont="1" applyBorder="1" applyAlignment="1">
      <alignment horizontal="distributed" vertical="center"/>
    </xf>
    <xf numFmtId="179" fontId="11" fillId="0" borderId="42" xfId="0" applyNumberFormat="1" applyFont="1" applyBorder="1" applyAlignment="1">
      <alignment horizontal="center" vertical="center" shrinkToFit="1"/>
    </xf>
    <xf numFmtId="180" fontId="11" fillId="0" borderId="32" xfId="0" applyNumberFormat="1" applyFont="1" applyBorder="1" applyAlignment="1">
      <alignment horizontal="center" vertical="center" shrinkToFit="1"/>
    </xf>
    <xf numFmtId="179" fontId="11" fillId="0" borderId="95" xfId="0" applyNumberFormat="1" applyFont="1" applyBorder="1" applyAlignment="1">
      <alignment horizontal="distributed" vertical="center"/>
    </xf>
    <xf numFmtId="179" fontId="11" fillId="0" borderId="54" xfId="0" applyNumberFormat="1" applyFont="1" applyBorder="1" applyAlignment="1">
      <alignment horizontal="distributed" vertical="center"/>
    </xf>
    <xf numFmtId="180" fontId="11" fillId="0" borderId="26" xfId="0" applyNumberFormat="1" applyFont="1" applyBorder="1" applyAlignment="1">
      <alignment horizontal="center" vertical="center" shrinkToFit="1"/>
    </xf>
    <xf numFmtId="179" fontId="11" fillId="0" borderId="26" xfId="0" applyNumberFormat="1" applyFont="1" applyBorder="1" applyAlignment="1">
      <alignment horizontal="distributed" vertical="center"/>
    </xf>
    <xf numFmtId="179" fontId="11" fillId="0" borderId="92" xfId="0" applyNumberFormat="1" applyFont="1" applyBorder="1" applyAlignment="1">
      <alignment horizontal="distributed" vertical="center"/>
    </xf>
    <xf numFmtId="179" fontId="11" fillId="0" borderId="100" xfId="0" applyNumberFormat="1" applyFont="1" applyBorder="1" applyAlignment="1">
      <alignment horizontal="center" vertical="center" shrinkToFit="1"/>
    </xf>
    <xf numFmtId="180" fontId="11" fillId="0" borderId="33" xfId="0" applyNumberFormat="1" applyFont="1" applyBorder="1" applyAlignment="1">
      <alignment horizontal="center" vertical="center" shrinkToFit="1"/>
    </xf>
    <xf numFmtId="0" fontId="11" fillId="0" borderId="33" xfId="0" applyFont="1" applyBorder="1" applyAlignment="1">
      <alignment horizontal="center" vertical="center"/>
    </xf>
    <xf numFmtId="179" fontId="11" fillId="0" borderId="57" xfId="0" applyNumberFormat="1" applyFont="1" applyBorder="1" applyAlignment="1">
      <alignment horizontal="center" vertical="center" shrinkToFit="1"/>
    </xf>
    <xf numFmtId="179" fontId="11" fillId="0" borderId="51" xfId="0" applyNumberFormat="1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/>
    </xf>
    <xf numFmtId="0" fontId="11" fillId="0" borderId="59" xfId="0" applyFont="1" applyBorder="1" applyAlignment="1">
      <alignment horizontal="distributed" vertical="center"/>
    </xf>
    <xf numFmtId="0" fontId="11" fillId="0" borderId="15" xfId="0" applyFont="1" applyBorder="1" applyAlignment="1">
      <alignment horizontal="distributed" vertical="center"/>
    </xf>
    <xf numFmtId="179" fontId="11" fillId="0" borderId="53" xfId="0" applyNumberFormat="1" applyFont="1" applyBorder="1" applyAlignment="1">
      <alignment horizontal="center" vertical="center" shrinkToFit="1"/>
    </xf>
    <xf numFmtId="0" fontId="11" fillId="0" borderId="54" xfId="0" applyFont="1" applyBorder="1" applyAlignment="1">
      <alignment horizontal="distributed" vertical="center"/>
    </xf>
    <xf numFmtId="179" fontId="11" fillId="0" borderId="46" xfId="0" applyNumberFormat="1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distributed" vertical="center"/>
    </xf>
    <xf numFmtId="179" fontId="11" fillId="0" borderId="55" xfId="0" applyNumberFormat="1" applyFont="1" applyBorder="1" applyAlignment="1">
      <alignment horizontal="center" vertical="center" shrinkToFit="1"/>
    </xf>
    <xf numFmtId="179" fontId="11" fillId="0" borderId="88" xfId="0" applyNumberFormat="1" applyFont="1" applyBorder="1" applyAlignment="1">
      <alignment horizontal="center" vertical="center" shrinkToFit="1"/>
    </xf>
    <xf numFmtId="179" fontId="11" fillId="0" borderId="96" xfId="0" applyNumberFormat="1" applyFont="1" applyBorder="1" applyAlignment="1">
      <alignment horizontal="center" vertical="center" shrinkToFit="1"/>
    </xf>
    <xf numFmtId="179" fontId="11" fillId="0" borderId="33" xfId="0" applyNumberFormat="1" applyFont="1" applyBorder="1" applyAlignment="1">
      <alignment horizontal="distributed" vertical="center"/>
    </xf>
    <xf numFmtId="0" fontId="11" fillId="0" borderId="50" xfId="0" applyFont="1" applyBorder="1" applyAlignment="1">
      <alignment horizontal="center" vertical="center"/>
    </xf>
    <xf numFmtId="0" fontId="11" fillId="0" borderId="66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 vertical="center"/>
    </xf>
    <xf numFmtId="179" fontId="11" fillId="0" borderId="26" xfId="0" applyNumberFormat="1" applyFont="1" applyBorder="1" applyAlignment="1">
      <alignment horizontal="center" vertical="center" shrinkToFit="1"/>
    </xf>
    <xf numFmtId="0" fontId="9" fillId="0" borderId="95" xfId="0" applyFont="1" applyBorder="1">
      <alignment vertical="center"/>
    </xf>
    <xf numFmtId="0" fontId="9" fillId="0" borderId="95" xfId="0" applyFont="1" applyBorder="1" applyAlignment="1">
      <alignment horizontal="distributed" vertical="center"/>
    </xf>
    <xf numFmtId="0" fontId="9" fillId="0" borderId="83" xfId="0" applyFont="1" applyBorder="1">
      <alignment vertical="center"/>
    </xf>
    <xf numFmtId="179" fontId="12" fillId="0" borderId="20" xfId="0" applyNumberFormat="1" applyFont="1" applyBorder="1" applyAlignment="1">
      <alignment horizontal="center" vertical="center" shrinkToFit="1"/>
    </xf>
    <xf numFmtId="180" fontId="9" fillId="0" borderId="61" xfId="0" applyNumberFormat="1" applyFont="1" applyBorder="1" applyAlignment="1">
      <alignment horizontal="center" vertical="center"/>
    </xf>
    <xf numFmtId="180" fontId="9" fillId="0" borderId="63" xfId="0" applyNumberFormat="1" applyFont="1" applyBorder="1" applyAlignment="1">
      <alignment horizontal="center" vertical="center"/>
    </xf>
    <xf numFmtId="180" fontId="9" fillId="0" borderId="35" xfId="0" applyNumberFormat="1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88" xfId="0" applyFont="1" applyBorder="1" applyAlignment="1">
      <alignment horizontal="center" vertical="center"/>
    </xf>
    <xf numFmtId="0" fontId="9" fillId="0" borderId="96" xfId="0" applyFont="1" applyBorder="1" applyAlignment="1">
      <alignment horizontal="center" vertical="center"/>
    </xf>
    <xf numFmtId="0" fontId="9" fillId="0" borderId="59" xfId="0" applyFont="1" applyBorder="1">
      <alignment vertical="center"/>
    </xf>
    <xf numFmtId="0" fontId="12" fillId="0" borderId="16" xfId="0" applyFont="1" applyBorder="1" applyAlignment="1">
      <alignment horizontal="center" vertical="center"/>
    </xf>
    <xf numFmtId="0" fontId="9" fillId="0" borderId="65" xfId="0" applyFont="1" applyBorder="1">
      <alignment vertical="center"/>
    </xf>
    <xf numFmtId="0" fontId="12" fillId="0" borderId="53" xfId="0" applyFont="1" applyBorder="1" applyAlignment="1">
      <alignment horizontal="center" vertical="center"/>
    </xf>
    <xf numFmtId="0" fontId="9" fillId="0" borderId="54" xfId="0" applyFont="1" applyBorder="1">
      <alignment vertical="center"/>
    </xf>
    <xf numFmtId="0" fontId="9" fillId="0" borderId="55" xfId="0" applyFont="1" applyBorder="1">
      <alignment vertical="center"/>
    </xf>
    <xf numFmtId="180" fontId="11" fillId="0" borderId="71" xfId="0" applyNumberFormat="1" applyFont="1" applyBorder="1" applyAlignment="1">
      <alignment horizontal="center" vertical="center"/>
    </xf>
    <xf numFmtId="179" fontId="11" fillId="0" borderId="71" xfId="0" applyNumberFormat="1" applyFont="1" applyBorder="1" applyAlignment="1">
      <alignment horizontal="center" vertical="center"/>
    </xf>
    <xf numFmtId="179" fontId="11" fillId="0" borderId="61" xfId="0" applyNumberFormat="1" applyFont="1" applyBorder="1" applyAlignment="1">
      <alignment horizontal="distributed" vertical="center"/>
    </xf>
    <xf numFmtId="179" fontId="11" fillId="0" borderId="63" xfId="0" applyNumberFormat="1" applyFont="1" applyBorder="1" applyAlignment="1">
      <alignment horizontal="distributed" vertical="center"/>
    </xf>
    <xf numFmtId="179" fontId="11" fillId="0" borderId="35" xfId="0" applyNumberFormat="1" applyFont="1" applyBorder="1" applyAlignment="1">
      <alignment horizontal="distributed" vertical="center"/>
    </xf>
    <xf numFmtId="180" fontId="12" fillId="0" borderId="14" xfId="0" applyNumberFormat="1" applyFont="1" applyBorder="1" applyAlignment="1">
      <alignment horizontal="center" vertical="center" shrinkToFit="1"/>
    </xf>
    <xf numFmtId="180" fontId="12" fillId="0" borderId="19" xfId="0" applyNumberFormat="1" applyFont="1" applyBorder="1" applyAlignment="1">
      <alignment horizontal="center" vertical="center" shrinkToFit="1"/>
    </xf>
    <xf numFmtId="180" fontId="9" fillId="0" borderId="25" xfId="0" applyNumberFormat="1" applyFont="1" applyBorder="1">
      <alignment vertical="center"/>
    </xf>
    <xf numFmtId="179" fontId="12" fillId="0" borderId="101" xfId="0" applyNumberFormat="1" applyFont="1" applyBorder="1" applyAlignment="1">
      <alignment horizontal="center" vertical="center" shrinkToFit="1"/>
    </xf>
    <xf numFmtId="179" fontId="12" fillId="0" borderId="102" xfId="0" applyNumberFormat="1" applyFont="1" applyBorder="1" applyAlignment="1">
      <alignment horizontal="center" vertical="center" shrinkToFit="1"/>
    </xf>
    <xf numFmtId="179" fontId="11" fillId="0" borderId="62" xfId="0" applyNumberFormat="1" applyFont="1" applyBorder="1" applyAlignment="1">
      <alignment horizontal="distributed" vertical="center"/>
    </xf>
    <xf numFmtId="180" fontId="11" fillId="0" borderId="39" xfId="0" applyNumberFormat="1" applyFont="1" applyBorder="1" applyAlignment="1">
      <alignment horizontal="center" vertical="center" shrinkToFit="1"/>
    </xf>
    <xf numFmtId="179" fontId="11" fillId="0" borderId="39" xfId="0" applyNumberFormat="1" applyFont="1" applyBorder="1" applyAlignment="1">
      <alignment horizontal="distributed" vertical="center"/>
    </xf>
    <xf numFmtId="180" fontId="12" fillId="0" borderId="39" xfId="0" applyNumberFormat="1" applyFont="1" applyBorder="1" applyAlignment="1">
      <alignment horizontal="center" vertical="center" shrinkToFit="1"/>
    </xf>
    <xf numFmtId="179" fontId="11" fillId="0" borderId="43" xfId="0" applyNumberFormat="1" applyFont="1" applyBorder="1" applyAlignment="1">
      <alignment horizontal="distributed" vertical="center"/>
    </xf>
    <xf numFmtId="179" fontId="12" fillId="0" borderId="103" xfId="0" applyNumberFormat="1" applyFont="1" applyBorder="1" applyAlignment="1">
      <alignment horizontal="center" vertical="center" shrinkToFit="1"/>
    </xf>
    <xf numFmtId="179" fontId="11" fillId="0" borderId="34" xfId="0" applyNumberFormat="1" applyFont="1" applyBorder="1" applyAlignment="1">
      <alignment horizontal="center" vertical="center"/>
    </xf>
    <xf numFmtId="179" fontId="11" fillId="0" borderId="9" xfId="0" applyNumberFormat="1" applyFont="1" applyBorder="1" applyAlignment="1">
      <alignment horizontal="center" vertical="center"/>
    </xf>
    <xf numFmtId="179" fontId="11" fillId="0" borderId="37" xfId="0" applyNumberFormat="1" applyFont="1" applyBorder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105" xfId="0" applyFont="1" applyBorder="1" applyAlignment="1">
      <alignment horizontal="center" vertical="center" shrinkToFit="1"/>
    </xf>
    <xf numFmtId="0" fontId="10" fillId="0" borderId="101" xfId="0" applyFont="1" applyBorder="1" applyAlignment="1">
      <alignment horizontal="center" vertical="center" shrinkToFit="1"/>
    </xf>
    <xf numFmtId="0" fontId="10" fillId="0" borderId="107" xfId="0" applyFont="1" applyBorder="1" applyAlignment="1">
      <alignment horizontal="center" vertical="center" shrinkToFit="1"/>
    </xf>
    <xf numFmtId="0" fontId="10" fillId="0" borderId="102" xfId="0" applyFont="1" applyBorder="1" applyAlignment="1">
      <alignment horizontal="center" vertical="center" shrinkToFit="1"/>
    </xf>
    <xf numFmtId="0" fontId="10" fillId="0" borderId="108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179" fontId="10" fillId="0" borderId="66" xfId="0" applyNumberFormat="1" applyFont="1" applyBorder="1" applyAlignment="1">
      <alignment horizontal="center" vertical="center" shrinkToFit="1"/>
    </xf>
    <xf numFmtId="0" fontId="10" fillId="0" borderId="104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9" fontId="11" fillId="0" borderId="30" xfId="0" applyNumberFormat="1" applyFont="1" applyBorder="1" applyAlignment="1">
      <alignment horizontal="center" vertical="center"/>
    </xf>
    <xf numFmtId="179" fontId="11" fillId="0" borderId="3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71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81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9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0" fillId="0" borderId="81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center" vertical="center" shrinkToFit="1"/>
    </xf>
    <xf numFmtId="0" fontId="10" fillId="0" borderId="66" xfId="0" applyFont="1" applyBorder="1" applyAlignment="1">
      <alignment horizontal="center" vertical="center" shrinkToFit="1"/>
    </xf>
    <xf numFmtId="0" fontId="10" fillId="0" borderId="62" xfId="0" applyFont="1" applyBorder="1" applyAlignment="1">
      <alignment horizontal="center" vertical="center" shrinkToFit="1"/>
    </xf>
    <xf numFmtId="0" fontId="10" fillId="0" borderId="104" xfId="0" applyFont="1" applyBorder="1" applyAlignment="1">
      <alignment horizontal="center" vertical="center" shrinkToFit="1"/>
    </xf>
    <xf numFmtId="0" fontId="10" fillId="0" borderId="106" xfId="0" applyFont="1" applyBorder="1" applyAlignment="1">
      <alignment horizontal="center" vertical="center" shrinkToFit="1"/>
    </xf>
    <xf numFmtId="0" fontId="10" fillId="0" borderId="109" xfId="0" applyFont="1" applyBorder="1" applyAlignment="1">
      <alignment horizontal="center" vertical="center"/>
    </xf>
    <xf numFmtId="0" fontId="10" fillId="0" borderId="11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69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2" fillId="0" borderId="67" xfId="0" applyFont="1" applyBorder="1" applyAlignment="1">
      <alignment horizontal="center" vertical="center" shrinkToFit="1"/>
    </xf>
    <xf numFmtId="0" fontId="2" fillId="0" borderId="72" xfId="0" applyFont="1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 shrinkToFit="1"/>
    </xf>
    <xf numFmtId="0" fontId="2" fillId="0" borderId="66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180" fontId="2" fillId="0" borderId="58" xfId="0" applyNumberFormat="1" applyFont="1" applyBorder="1" applyAlignment="1">
      <alignment horizontal="center" vertical="center"/>
    </xf>
    <xf numFmtId="180" fontId="2" fillId="0" borderId="52" xfId="0" applyNumberFormat="1" applyFont="1" applyBorder="1" applyAlignment="1">
      <alignment horizontal="center" vertical="center"/>
    </xf>
    <xf numFmtId="180" fontId="2" fillId="0" borderId="56" xfId="0" applyNumberFormat="1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 textRotation="255"/>
    </xf>
    <xf numFmtId="0" fontId="2" fillId="0" borderId="60" xfId="0" applyFont="1" applyBorder="1" applyAlignment="1">
      <alignment horizontal="center" vertical="center" textRotation="255"/>
    </xf>
    <xf numFmtId="0" fontId="2" fillId="0" borderId="67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180" fontId="5" fillId="0" borderId="0" xfId="0" applyNumberFormat="1" applyFont="1" applyAlignment="1">
      <alignment horizontal="center" vertical="center"/>
    </xf>
    <xf numFmtId="0" fontId="2" fillId="0" borderId="69" xfId="0" applyFont="1" applyBorder="1" applyAlignment="1">
      <alignment horizontal="center" vertical="center" shrinkToFit="1"/>
    </xf>
    <xf numFmtId="0" fontId="2" fillId="0" borderId="74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176" fontId="2" fillId="0" borderId="78" xfId="0" applyNumberFormat="1" applyFont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0" fontId="2" fillId="0" borderId="80" xfId="0" applyFont="1" applyBorder="1" applyAlignment="1">
      <alignment horizontal="center" vertical="center"/>
    </xf>
    <xf numFmtId="176" fontId="2" fillId="0" borderId="75" xfId="0" applyNumberFormat="1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176" fontId="2" fillId="0" borderId="58" xfId="0" applyNumberFormat="1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shrinkToFit="1"/>
    </xf>
    <xf numFmtId="0" fontId="2" fillId="0" borderId="6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 textRotation="255"/>
    </xf>
    <xf numFmtId="0" fontId="2" fillId="0" borderId="56" xfId="0" applyFont="1" applyBorder="1" applyAlignment="1">
      <alignment horizontal="center" vertical="center" textRotation="255"/>
    </xf>
    <xf numFmtId="0" fontId="4" fillId="0" borderId="72" xfId="0" applyFont="1" applyBorder="1" applyAlignment="1">
      <alignment horizontal="center" vertical="center" shrinkToFit="1"/>
    </xf>
    <xf numFmtId="0" fontId="2" fillId="0" borderId="60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 shrinkToFit="1"/>
    </xf>
  </cellXfs>
  <cellStyles count="1">
    <cellStyle name="標準" xfId="0" builtinId="0"/>
  </cellStyles>
  <dxfs count="25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numFmt numFmtId="0" formatCode="General"/>
      <border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80" formatCode="0_);[Red]\(0\)"/>
      <border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80" formatCode="0_);[Red]\(0\)"/>
      <border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9" formatCode="0.0_);[Red]\(0.0\)"/>
      <border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  <name val="メイリオ"/>
      </font>
      <numFmt numFmtId="180" formatCode="0_);[Red]\(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9" formatCode="0.0_);[Red]\(0.0\)"/>
      <border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1" diagonalDown="0" outline="0">
        <left style="thin">
          <color indexed="64"/>
        </left>
        <right style="medium">
          <color indexed="64"/>
        </right>
        <top/>
        <bottom/>
        <diagonal style="thin">
          <color indexed="64"/>
        </diagon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1" diagonalDown="0" outline="0">
        <left style="thin">
          <color indexed="64"/>
        </left>
        <right style="thin">
          <color indexed="64"/>
        </right>
        <top/>
        <bottom/>
        <diagonal style="thin">
          <color indexed="64"/>
        </diagon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1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1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diagon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distributed" vertical="center" textRotation="0" wrapText="0" indent="0" justifyLastLine="0" shrinkToFit="0" readingOrder="0"/>
      <border diagonalUp="1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distributed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distributed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メイリオ"/>
        <scheme val="none"/>
      </font>
    </dxf>
    <dxf>
      <border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メイリオ"/>
        <scheme val="none"/>
      </font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distributed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strike val="0"/>
        <outline val="0"/>
        <shadow val="0"/>
        <u val="none"/>
        <vertAlign val="baseline"/>
        <sz val="12"/>
        <color auto="1"/>
        <name val="メイリオ"/>
        <scheme val="none"/>
      </font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メイリオ"/>
        <scheme val="none"/>
      </font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numFmt numFmtId="179" formatCode="0.0_);[Red]\(0.0\)"/>
      <alignment horizontal="distributed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メイリオ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fill>
        <patternFill patternType="solid">
          <fgColor indexed="64"/>
          <bgColor theme="0"/>
        </patternFill>
      </fill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fill>
        <patternFill patternType="solid">
          <fgColor indexed="64"/>
          <bgColor theme="4" tint="0.79998168889431442"/>
        </patternFill>
      </fill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border outline="0">
        <left style="medium">
          <color indexed="64"/>
        </left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0" formatCode="0_);[Red]\(0\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fill>
        <patternFill patternType="solid">
          <fgColor indexed="64"/>
          <bgColor theme="4" tint="0.79998168889431442"/>
        </patternFill>
      </fill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  <border diagonalUp="0" diagonalDown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font>
        <strike val="0"/>
        <outline val="0"/>
        <shadow val="0"/>
        <u val="none"/>
        <vertAlign val="baseline"/>
        <name val="メイリオ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9" formatCode="0.0_);[Red]\(0.0\)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7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strike val="0"/>
        <outline val="0"/>
        <shadow val="0"/>
        <u val="none"/>
        <vertAlign val="baseline"/>
        <name val="メイリオ"/>
        <scheme val="none"/>
      </font>
      <border diagonalUp="0" diagonalDown="0">
        <left style="medium">
          <color indexed="64"/>
        </left>
        <right style="medium">
          <color indexed="64"/>
        </right>
        <vertical/>
      </border>
    </dxf>
    <dxf>
      <font>
        <strike val="0"/>
        <outline val="0"/>
        <shadow val="0"/>
        <u val="none"/>
        <vertAlign val="baseline"/>
        <name val="メイリオ"/>
        <scheme val="none"/>
      </font>
      <border diagonalUp="0" diagonalDown="0">
        <left style="medium">
          <color indexed="64"/>
        </left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76" formatCode="0.0_ 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  <alignment horizontal="distributed" textRotation="0" wrapText="0" justifyLastLine="0" shrinkToFit="0" readingOrder="0"/>
    </dxf>
    <dxf>
      <font>
        <strike val="0"/>
        <outline val="0"/>
        <shadow val="0"/>
        <u val="none"/>
        <vertAlign val="baseline"/>
        <name val="メイリオ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メイリオ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メイリオ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82" formatCode="0.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distributed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numFmt numFmtId="1" formatCode="0"/>
      <alignment horizontal="distributed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メイリオ"/>
        <scheme val="none"/>
      </font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メイリオ"/>
        <scheme val="none"/>
      </font>
      <alignment horizontal="center" vertical="center" textRotation="0" wrapText="0" indent="0" justifyLastLine="0" shrinkToFit="0" readingOrder="0"/>
    </dxf>
    <dxf>
      <font>
        <color rgb="FF9C0006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66277/Desktop/p66277/&#12521;&#12452;&#12501;&#12523;&#23556;&#25731;/R7/R7_&#30476;&#32207;&#20307;/R7_&#30476;&#32207;&#20307;&#32080;&#26524;&#65288;&#30906;&#23450;&#2925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gujyo-hs.gifu-net.ed.jp\public\01_&#25945;&#31185;&#31561;\04_&#25968;&#23398;\04_&#25945;&#21729;&#29992;\&#12363;&#12392;&#12358;\&#12521;&#12452;&#12501;&#12523;\R7_&#30476;&#32207;&#20307;&#32080;&#26524;&#65288;&#30906;&#23450;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概要"/>
      <sheetName val="表紙"/>
      <sheetName val="日程"/>
      <sheetName val="AR予選"/>
      <sheetName val="AP予選 "/>
      <sheetName val="BR予選"/>
      <sheetName val="BP予選"/>
      <sheetName val="団体戦"/>
      <sheetName val="新聞社報告"/>
      <sheetName val="決勝_男子"/>
      <sheetName val="決勝_女子"/>
      <sheetName val="補助員"/>
      <sheetName val="R7_県総体結果（確定版）"/>
    </sheetNames>
    <sheetDataSet>
      <sheetData sheetId="0"/>
      <sheetData sheetId="1"/>
      <sheetData sheetId="2"/>
      <sheetData sheetId="3"/>
      <sheetData sheetId="4"/>
      <sheetData sheetId="5">
        <row r="5">
          <cell r="E5" t="str">
            <v>済美高等学校射撃場</v>
          </cell>
        </row>
        <row r="41">
          <cell r="R41" t="str">
            <v>浅野　海空</v>
          </cell>
          <cell r="T41" t="str">
            <v>関有知A1</v>
          </cell>
        </row>
        <row r="42">
          <cell r="R42" t="str">
            <v>藤田　千愛</v>
          </cell>
          <cell r="T42" t="str">
            <v>関有知A2</v>
          </cell>
        </row>
        <row r="43">
          <cell r="R43" t="str">
            <v>三浦　柚希</v>
          </cell>
          <cell r="T43" t="str">
            <v>関有知A3</v>
          </cell>
        </row>
        <row r="44">
          <cell r="R44" t="str">
            <v>水野　音流</v>
          </cell>
        </row>
        <row r="45">
          <cell r="R45" t="str">
            <v>狩野由依奈</v>
          </cell>
        </row>
        <row r="46">
          <cell r="R46" t="str">
            <v>中井　伊織</v>
          </cell>
        </row>
        <row r="47">
          <cell r="R47" t="str">
            <v>石田紬葵</v>
          </cell>
          <cell r="T47" t="str">
            <v>済美Ａ1</v>
          </cell>
        </row>
        <row r="48">
          <cell r="R48" t="str">
            <v>武藤歩莉</v>
          </cell>
          <cell r="T48" t="str">
            <v>済美Ａ2</v>
          </cell>
        </row>
        <row r="49">
          <cell r="R49" t="str">
            <v>小室結万</v>
          </cell>
          <cell r="T49" t="str">
            <v>済美Ａ3</v>
          </cell>
        </row>
        <row r="50">
          <cell r="R50" t="str">
            <v>浦山佳歩</v>
          </cell>
        </row>
        <row r="51">
          <cell r="R51" t="str">
            <v>河出菜欧美</v>
          </cell>
        </row>
        <row r="52">
          <cell r="R52" t="str">
            <v>鬼頭　由茉</v>
          </cell>
        </row>
        <row r="53">
          <cell r="R53" t="str">
            <v>木戸脇　亜依</v>
          </cell>
          <cell r="T53" t="str">
            <v>鶯谷A1</v>
          </cell>
        </row>
        <row r="54">
          <cell r="R54" t="str">
            <v>三宅　鈴音</v>
          </cell>
          <cell r="T54" t="str">
            <v>鶯谷A2</v>
          </cell>
        </row>
        <row r="55">
          <cell r="R55" t="str">
            <v>中村　由弥</v>
          </cell>
          <cell r="T55" t="str">
            <v>鶯谷A3</v>
          </cell>
        </row>
      </sheetData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概要"/>
      <sheetName val="表紙"/>
      <sheetName val="日程"/>
      <sheetName val="AR予選"/>
      <sheetName val="AP予選 "/>
      <sheetName val="BR予選"/>
      <sheetName val="BP予選"/>
      <sheetName val="団体戦"/>
      <sheetName val="新聞社報告"/>
      <sheetName val="決勝_男子"/>
      <sheetName val="決勝_女子"/>
      <sheetName val="補助員"/>
    </sheetNames>
    <sheetDataSet>
      <sheetData sheetId="0"/>
      <sheetData sheetId="1"/>
      <sheetData sheetId="2"/>
      <sheetData sheetId="3"/>
      <sheetData sheetId="4"/>
      <sheetData sheetId="5">
        <row r="5">
          <cell r="E5" t="str">
            <v>済美高等学校射撃場</v>
          </cell>
        </row>
      </sheetData>
      <sheetData sheetId="6">
        <row r="13">
          <cell r="E13" t="str">
            <v>長屋佳芽</v>
          </cell>
        </row>
      </sheetData>
      <sheetData sheetId="7">
        <row r="30">
          <cell r="I30">
            <v>1830.1</v>
          </cell>
        </row>
      </sheetData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id="2" name="テーブル2" displayName="テーブル2" ref="A13:O20" totalsRowShown="0" headerRowDxfId="255" dataDxfId="253" headerRowBorderDxfId="254" tableBorderDxfId="252">
  <autoFilter ref="A13:O20"/>
  <sortState ref="A14:O20">
    <sortCondition ref="A13:A20"/>
  </sortState>
  <tableColumns count="15">
    <tableColumn id="5" name="通番" dataDxfId="251"/>
    <tableColumn id="1" name="射座" dataDxfId="250"/>
    <tableColumn id="2" name="ID" dataDxfId="249">
      <calculatedColumnFormula>IF(D14="","",INDEX($R$14:$R$20,MATCH(テーブル2[[#This Row],[氏　　名]],$S$14:$S$20,0)))</calculatedColumnFormula>
    </tableColumn>
    <tableColumn id="3" name="氏　　名" dataDxfId="248"/>
    <tableColumn id="4" name="学　校" dataDxfId="247">
      <calculatedColumnFormula>IF(テーブル2[[#This Row],[氏　　名]]="","",INDEX($Q$14:$Q$20,MATCH(テーブル2[[#This Row],[氏　　名]],$S$14:$S$20,0)))</calculatedColumnFormula>
    </tableColumn>
    <tableColumn id="18" name="学年" dataDxfId="246">
      <calculatedColumnFormula>IF(テーブル2[[#This Row],[氏　　名]]="","",INDEX($T$14:$T$20,MATCH(テーブル2[[#This Row],[氏　　名]],$S$14:$S$20,0)))</calculatedColumnFormula>
    </tableColumn>
    <tableColumn id="6" name="1" dataDxfId="245"/>
    <tableColumn id="7" name="2" dataDxfId="244"/>
    <tableColumn id="8" name="3" dataDxfId="243"/>
    <tableColumn id="9" name="4" dataDxfId="242"/>
    <tableColumn id="10" name="5" dataDxfId="241"/>
    <tableColumn id="11" name="6" dataDxfId="240"/>
    <tableColumn id="12" name="合　計" dataDxfId="239">
      <calculatedColumnFormula>IF(G14="","",SUM(G14:L14))</calculatedColumnFormula>
    </tableColumn>
    <tableColumn id="13" name="X" dataDxfId="238"/>
    <tableColumn id="14" name="順位" dataDxfId="237">
      <calculatedColumnFormula>IF(M14="","",RANK(M14,$M$14:$M$20))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3" name="テーブル814" displayName="テーブル814" ref="A25:J28" totalsRowShown="0" headerRowDxfId="91" dataDxfId="89" headerRowBorderDxfId="90" tableBorderDxfId="88">
  <autoFilter ref="A25:J28"/>
  <sortState ref="A26:J28">
    <sortCondition ref="A25:A28"/>
  </sortState>
  <tableColumns count="10">
    <tableColumn id="10" name="通番" dataDxfId="87"/>
    <tableColumn id="1" name="チーム名" dataDxfId="86"/>
    <tableColumn id="2" name="氏　　名" dataDxfId="85">
      <calculatedColumnFormula>INDEX([1]BR予選!$R$41:$R$55,MATCH(テーブル814[[#This Row],[チーム名]]&amp;1,[1]BR予選!$T$41:$T$55,0))</calculatedColumnFormula>
    </tableColumn>
    <tableColumn id="3" name="得　点" dataDxfId="84">
      <calculatedColumnFormula>INDEX(テーブル5[合　計],MATCH(テーブル814[[#This Row],[氏　　名]],テーブル5[氏　　名],0))</calculatedColumnFormula>
    </tableColumn>
    <tableColumn id="4" name="氏　　名2" dataDxfId="83">
      <calculatedColumnFormula>INDEX(BR予選!$R$38:$R$51,MATCH(テーブル814[[#This Row],[チーム名]]&amp;2,BR予選!$T$38:$T$51,0))</calculatedColumnFormula>
    </tableColumn>
    <tableColumn id="5" name="得　点2" dataDxfId="82">
      <calculatedColumnFormula>INDEX(テーブル5[合　計],MATCH(テーブル814[[#This Row],[氏　　名2]],テーブル5[氏　　名],0))</calculatedColumnFormula>
    </tableColumn>
    <tableColumn id="6" name="氏　　名3" dataDxfId="81">
      <calculatedColumnFormula>INDEX(BR予選!$R$38:$R$51,MATCH(テーブル814[[#This Row],[チーム名]]&amp;3,BR予選!$T$38:$T$51,0))</calculatedColumnFormula>
    </tableColumn>
    <tableColumn id="7" name="得　点3" dataDxfId="80">
      <calculatedColumnFormula>INDEX(テーブル5[合　計],MATCH(テーブル814[[#This Row],[氏　　名3]],テーブル5[氏　　名],0))</calculatedColumnFormula>
    </tableColumn>
    <tableColumn id="8" name="合計点" dataDxfId="79">
      <calculatedColumnFormula>IF(テーブル814[[#This Row],[得　点]]="","",テーブル814[[#This Row],[得　点]]+テーブル814[[#This Row],[得　点2]]+テーブル814[[#This Row],[得　点3]])</calculatedColumnFormula>
    </tableColumn>
    <tableColumn id="9" name="順位" dataDxfId="78">
      <calculatedColumnFormula>IF(I26="","",RANK(I26,テーブル814[合計点],0))</calculatedColumnFormula>
    </tableColumn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4" name="テーブル915" displayName="テーブル915" ref="A31:J36" totalsRowShown="0" headerRowDxfId="77" dataDxfId="75" headerRowBorderDxfId="76" tableBorderDxfId="74">
  <autoFilter ref="A31:J36"/>
  <sortState ref="A32:J36">
    <sortCondition ref="A31:A36"/>
  </sortState>
  <tableColumns count="10">
    <tableColumn id="10" name="通番" dataDxfId="73"/>
    <tableColumn id="1" name="チーム名" dataDxfId="72"/>
    <tableColumn id="2" name="氏　　名" dataDxfId="71">
      <calculatedColumnFormula>INDEX(BP予選!$T$13:$T$27,MATCH(テーブル915[[#This Row],[チーム名]]&amp;1,BP予選!$V$13:$V$27,0))</calculatedColumnFormula>
    </tableColumn>
    <tableColumn id="3" name="得　点" dataDxfId="70">
      <calculatedColumnFormula>INDEX(テーブル6[合　計],MATCH(テーブル915[[#This Row],[氏　　名]],テーブル6[氏　　名],0))</calculatedColumnFormula>
    </tableColumn>
    <tableColumn id="4" name="氏　　名2" dataDxfId="69">
      <calculatedColumnFormula>INDEX(BP予選!$T$13:$T$27,MATCH(テーブル915[[#This Row],[チーム名]]&amp;2,BP予選!$V$13:$V$27,0))</calculatedColumnFormula>
    </tableColumn>
    <tableColumn id="5" name="得　点2" dataDxfId="68">
      <calculatedColumnFormula>INDEX(テーブル6[合　計],MATCH(テーブル915[[#This Row],[氏　　名2]],テーブル6[氏　　名],0))</calculatedColumnFormula>
    </tableColumn>
    <tableColumn id="6" name="氏　　名3" dataDxfId="67"/>
    <tableColumn id="7" name="得　点3" dataDxfId="66"/>
    <tableColumn id="8" name="合計点" dataDxfId="65">
      <calculatedColumnFormula>IF(テーブル915[[#This Row],[得　点]]="","",テーブル915[[#This Row],[得　点]]+テーブル915[[#This Row],[得　点2]])</calculatedColumnFormula>
    </tableColumn>
    <tableColumn id="9" name="順位" dataDxfId="64">
      <calculatedColumnFormula>IF(I32="","",RANK(I32,テーブル915[合計点],0))</calculatedColumnFormula>
    </tableColumn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5" name="テーブル11" displayName="テーブル11" ref="A2:J4" totalsRowShown="0" headerRowDxfId="63" dataDxfId="61" headerRowBorderDxfId="62" tableBorderDxfId="60" totalsRowBorderDxfId="59">
  <autoFilter ref="A2:J4"/>
  <tableColumns count="10">
    <tableColumn id="1" name="通番" dataDxfId="58"/>
    <tableColumn id="2" name="チーム名" dataDxfId="57"/>
    <tableColumn id="3" name="氏　　名" dataDxfId="56">
      <calculatedColumnFormula>INDEX(AR予選!$S$14:$S$20,MATCH(テーブル11[[#This Row],[チーム名]]&amp;1,AR予選!$U$14:$U$20,0))</calculatedColumnFormula>
    </tableColumn>
    <tableColumn id="4" name="得　点" dataDxfId="55">
      <calculatedColumnFormula>INDEX(テーブル2[合　計],MATCH(テーブル11[[#This Row],[氏　　名]],テーブル2[氏　　名],0))</calculatedColumnFormula>
    </tableColumn>
    <tableColumn id="5" name="氏　　名2" dataDxfId="54">
      <calculatedColumnFormula>INDEX(AR予選!$S$14:$S$20,MATCH(テーブル11[[#This Row],[チーム名]]&amp;2,AR予選!$U$14:$U$20,0))</calculatedColumnFormula>
    </tableColumn>
    <tableColumn id="6" name="得　点2" dataDxfId="53">
      <calculatedColumnFormula>INDEX(テーブル2[合　計],MATCH(テーブル11[[#This Row],[氏　　名2]],テーブル2[氏　　名],0))</calculatedColumnFormula>
    </tableColumn>
    <tableColumn id="7" name="氏　　名3" dataDxfId="52">
      <calculatedColumnFormula>INDEX(AR予選!$S$14:$S$20,MATCH(テーブル11[[#This Row],[チーム名]]&amp;3,AR予選!$U$14:$U$20,0))</calculatedColumnFormula>
    </tableColumn>
    <tableColumn id="8" name="得　点3" dataDxfId="51">
      <calculatedColumnFormula>INDEX(テーブル2[合　計],MATCH(テーブル11[[#This Row],[氏　　名3]],テーブル2[氏　　名],0))</calculatedColumnFormula>
    </tableColumn>
    <tableColumn id="9" name="合計点" dataDxfId="50">
      <calculatedColumnFormula>IF(テーブル11[[#This Row],[得　点]]="","",テーブル11[[#This Row],[得　点]]+テーブル11[[#This Row],[得　点2]]+テーブル11[[#This Row],[得　点3]])</calculatedColumnFormula>
    </tableColumn>
    <tableColumn id="10" name="順位" dataDxfId="49">
      <calculatedColumnFormula>IF(テーブル11[[#This Row],[合計点]]="","",_xlfn.RANK.EQ(テーブル11[[#This Row],[合計点]],テーブル11[合計点],0))</calculatedColumnFormula>
    </tableColumn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6" name="テーブル1114" displayName="テーブル1114" ref="A7:J8" totalsRowShown="0" headerRowDxfId="48" dataDxfId="46" headerRowBorderDxfId="47" tableBorderDxfId="45" totalsRowBorderDxfId="44">
  <autoFilter ref="A7:J8"/>
  <tableColumns count="10">
    <tableColumn id="1" name="通番" dataDxfId="43"/>
    <tableColumn id="2" name="チーム名" dataDxfId="42"/>
    <tableColumn id="3" name="氏　　名" dataDxfId="41">
      <calculatedColumnFormula>INDEX(AR予選!$S$26:$S$30,MATCH(テーブル1114[[#This Row],[チーム名]]&amp;1,AR予選!$U$26:$U$30,0))</calculatedColumnFormula>
    </tableColumn>
    <tableColumn id="4" name="得　点" dataDxfId="40">
      <calculatedColumnFormula>INDEX(テーブル1[合　計],MATCH(テーブル1114[[#This Row],[氏　　名]],テーブル1[氏　　名],0))</calculatedColumnFormula>
    </tableColumn>
    <tableColumn id="5" name="氏　　名2" dataDxfId="39">
      <calculatedColumnFormula>INDEX(AR予選!$S$26:$S$30,MATCH(テーブル1114[[#This Row],[チーム名]]&amp;2,AR予選!$U$26:$U$30,0))</calculatedColumnFormula>
    </tableColumn>
    <tableColumn id="6" name="得　点2" dataDxfId="38">
      <calculatedColumnFormula>INDEX(テーブル1[合　計],MATCH(テーブル1114[[#This Row],[氏　　名2]],テーブル1[氏　　名],0))</calculatedColumnFormula>
    </tableColumn>
    <tableColumn id="7" name="氏　　名3" dataDxfId="37">
      <calculatedColumnFormula>INDEX(AR予選!$S$26:$S$30,MATCH(テーブル1114[[#This Row],[チーム名]]&amp;3,AR予選!$U$26:$U$30,0))</calculatedColumnFormula>
    </tableColumn>
    <tableColumn id="8" name="得　点3" dataDxfId="36">
      <calculatedColumnFormula>INDEX(テーブル1[合　計],MATCH(テーブル1114[[#This Row],[氏　　名3]],テーブル1[氏　　名],0))</calculatedColumnFormula>
    </tableColumn>
    <tableColumn id="9" name="合計点" dataDxfId="35">
      <calculatedColumnFormula>IF(テーブル1114[[#This Row],[得　点]]="","",テーブル1114[[#This Row],[得　点]]+テーブル1114[[#This Row],[得　点2]]+テーブル1114[[#This Row],[得　点3]])</calculatedColumnFormula>
    </tableColumn>
    <tableColumn id="10" name="順位" dataDxfId="34">
      <calculatedColumnFormula>IF(テーブル1114[[#This Row],[合計点]]="","",_xlfn.RANK.EQ(テーブル1114[[#This Row],[合計点]],テーブル1114[合計点],0))</calculatedColumnFormula>
    </tableColumn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7" name="テーブル1115" displayName="テーブル1115" ref="A11:J12" totalsRowShown="0" headerRowDxfId="33" dataDxfId="31" headerRowBorderDxfId="32" tableBorderDxfId="30" totalsRowBorderDxfId="29">
  <autoFilter ref="A11:J12"/>
  <tableColumns count="10">
    <tableColumn id="1" name="通番" dataDxfId="28"/>
    <tableColumn id="2" name="チーム名" dataDxfId="27"/>
    <tableColumn id="3" name="氏　　名" dataDxfId="26"/>
    <tableColumn id="4" name="得　点" dataDxfId="25">
      <calculatedColumnFormula>'AP予選 '!M13</calculatedColumnFormula>
    </tableColumn>
    <tableColumn id="5" name="氏　　名2" dataDxfId="24"/>
    <tableColumn id="6" name="得　点2" dataDxfId="23">
      <calculatedColumnFormula>'AP予選 '!M14</calculatedColumnFormula>
    </tableColumn>
    <tableColumn id="7" name="氏　　名3" dataDxfId="22"/>
    <tableColumn id="8" name="得　点3" dataDxfId="21"/>
    <tableColumn id="9" name="合計点" dataDxfId="20">
      <calculatedColumnFormula>IF(テーブル1115[[#This Row],[得　点]]="","",テーブル1115[[#This Row],[得　点]]+テーブル1115[[#This Row],[得　点2]])</calculatedColumnFormula>
    </tableColumn>
    <tableColumn id="10" name="順位" dataDxfId="19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4" name="テーブル4" displayName="テーブル4" ref="A39:J42" totalsRowShown="0" headerRowDxfId="18">
  <autoFilter ref="A39:J42"/>
  <tableColumns count="10">
    <tableColumn id="1" name="通番" dataDxfId="17"/>
    <tableColumn id="2" name="チーム名" dataDxfId="16"/>
    <tableColumn id="3" name="氏　　名" dataDxfId="15">
      <calculatedColumnFormula>INDEX(BP予選!$T$31:$T$38,MATCH(テーブル4[[#This Row],[チーム名]]&amp;1,BP予選!$V$31:$V$38,0))</calculatedColumnFormula>
    </tableColumn>
    <tableColumn id="4" name="得　点" dataDxfId="14">
      <calculatedColumnFormula>INDEX(テーブル7[合　計],MATCH(テーブル4[[#This Row],[氏　　名]],テーブル7[氏　　名],0))</calculatedColumnFormula>
    </tableColumn>
    <tableColumn id="5" name="氏　　名2" dataDxfId="13">
      <calculatedColumnFormula>INDEX(BP予選!$T$31:$T$38,MATCH(テーブル4[[#This Row],[チーム名]]&amp;2,BP予選!$V$31:$V$38,0))</calculatedColumnFormula>
    </tableColumn>
    <tableColumn id="6" name="得点２" dataDxfId="12">
      <calculatedColumnFormula>INDEX(テーブル7[合　計],MATCH(テーブル4[[#This Row],[氏　　名2]],テーブル7[氏　　名],0))</calculatedColumnFormula>
    </tableColumn>
    <tableColumn id="7" name="氏名３" dataDxfId="11"/>
    <tableColumn id="8" name="得点３" dataDxfId="10"/>
    <tableColumn id="9" name="合計点" dataDxfId="9">
      <calculatedColumnFormula>IF(D40="","",テーブル4[[#This Row],[得　点]]+テーブル4[[#This Row],[得点２]])</calculatedColumnFormula>
    </tableColumn>
    <tableColumn id="10" name="順位" dataDxfId="8">
      <calculatedColumnFormula>IF(テーブル4[[#This Row],[得　点]]="","",_xlfn.RANK.EQ(テーブル4[[#This Row],[合計点]],テーブル4[合計点],1))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テーブル1" displayName="テーブル1" ref="A25:O30" totalsRowShown="0" headerRowDxfId="236" dataDxfId="235" tableBorderDxfId="234">
  <autoFilter ref="A25:O30"/>
  <sortState ref="A26:O30">
    <sortCondition ref="A25:A30"/>
  </sortState>
  <tableColumns count="15">
    <tableColumn id="1" name="通番" dataDxfId="233"/>
    <tableColumn id="2" name="射座" dataDxfId="232"/>
    <tableColumn id="3" name="ID" dataDxfId="231">
      <calculatedColumnFormula>IF(テーブル1[[#This Row],[氏　　名]]="","",INDEX($R$26:$R$30,MATCH(テーブル1[[#This Row],[氏　　名]],$S$26:$S$30,0)))</calculatedColumnFormula>
    </tableColumn>
    <tableColumn id="4" name="氏　　名" dataDxfId="230"/>
    <tableColumn id="5" name="学　校" dataDxfId="229">
      <calculatedColumnFormula>IF(テーブル1[[#This Row],[氏　　名]]="","",INDEX($Q$26:$Q$30,MATCH(テーブル1[[#This Row],[氏　　名]],$S$26:$S$30,0)))</calculatedColumnFormula>
    </tableColumn>
    <tableColumn id="6" name="学年" dataDxfId="228">
      <calculatedColumnFormula>IF(テーブル1[[#This Row],[氏　　名]]="","",INDEX($T$26:$T$30,MATCH(テーブル1[[#This Row],[氏　　名]],$S$26:$S$30,0)))</calculatedColumnFormula>
    </tableColumn>
    <tableColumn id="11" name="1" dataDxfId="227"/>
    <tableColumn id="12" name="2" dataDxfId="226"/>
    <tableColumn id="13" name="3" dataDxfId="225"/>
    <tableColumn id="14" name="4" dataDxfId="224"/>
    <tableColumn id="15" name="5" dataDxfId="223"/>
    <tableColumn id="16" name="6" dataDxfId="222"/>
    <tableColumn id="17" name="合　計" dataDxfId="221">
      <calculatedColumnFormula>IF(G26="","",SUM(G26:L26))</calculatedColumnFormula>
    </tableColumn>
    <tableColumn id="7" name="X" dataDxfId="220"/>
    <tableColumn id="8" name="順位" dataDxfId="219">
      <calculatedColumnFormula>IF(M26="","",RANK(M26,$M$26:$M$30))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10" name="テーブル10" displayName="テーブル10" ref="A12:O14" totalsRowShown="0" headerRowDxfId="213" headerRowBorderDxfId="212" tableBorderDxfId="211">
  <autoFilter ref="A12:O14"/>
  <sortState ref="A13:N14">
    <sortCondition ref="A12:A14"/>
  </sortState>
  <tableColumns count="15">
    <tableColumn id="13" name="通番" dataDxfId="210"/>
    <tableColumn id="1" name="射座" dataDxfId="209"/>
    <tableColumn id="2" name="ID" dataDxfId="208"/>
    <tableColumn id="3" name="氏　　名" dataDxfId="207"/>
    <tableColumn id="4" name="学　校" dataDxfId="206"/>
    <tableColumn id="5" name="学年" dataDxfId="205"/>
    <tableColumn id="6" name="1" dataDxfId="204"/>
    <tableColumn id="7" name="2" dataDxfId="203"/>
    <tableColumn id="8" name="3" dataDxfId="202"/>
    <tableColumn id="9" name="4" dataDxfId="201"/>
    <tableColumn id="10" name="5" dataDxfId="200"/>
    <tableColumn id="11" name="6" dataDxfId="199"/>
    <tableColumn id="12" name="合　計" dataDxfId="198"/>
    <tableColumn id="14" name="X" dataDxfId="197"/>
    <tableColumn id="15" name="順位" dataDxfId="196">
      <calculatedColumnFormula>IF(M13="","",RANK(M13,$M$13:$M$14,0))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1" name="テーブル1012" displayName="テーブル1012" ref="A29:O30" totalsRowShown="0" headerRowDxfId="195" headerRowBorderDxfId="194" tableBorderDxfId="193">
  <autoFilter ref="A29:O30"/>
  <sortState ref="A30:N30">
    <sortCondition ref="A12:A14"/>
  </sortState>
  <tableColumns count="15">
    <tableColumn id="13" name="通番" dataDxfId="192"/>
    <tableColumn id="1" name="射座" dataDxfId="191"/>
    <tableColumn id="2" name="ID" dataDxfId="190"/>
    <tableColumn id="3" name="氏　　名" dataDxfId="189"/>
    <tableColumn id="4" name="学　校" dataDxfId="188"/>
    <tableColumn id="5" name="学年" dataDxfId="187"/>
    <tableColumn id="6" name="1" dataDxfId="186"/>
    <tableColumn id="7" name="2" dataDxfId="185"/>
    <tableColumn id="8" name="3" dataDxfId="184"/>
    <tableColumn id="9" name="4" dataDxfId="183"/>
    <tableColumn id="10" name="5" dataDxfId="182"/>
    <tableColumn id="11" name="6" dataDxfId="181"/>
    <tableColumn id="12" name="合　計" dataDxfId="180"/>
    <tableColumn id="14" name="X" dataDxfId="179"/>
    <tableColumn id="15" name="順位" dataDxfId="178">
      <calculatedColumnFormula>IF(M30="","",RANK(M30,$M$13:$M$14,0))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3" name="テーブル3" displayName="テーブル3" ref="A12:N34" totalsRowShown="0" headerRowDxfId="176" dataDxfId="175" tableBorderDxfId="174">
  <autoFilter ref="A12:N34"/>
  <sortState ref="A13:N34">
    <sortCondition ref="A12:A34"/>
  </sortState>
  <tableColumns count="14">
    <tableColumn id="1" name="通番" dataDxfId="173"/>
    <tableColumn id="2" name="射座" dataDxfId="172"/>
    <tableColumn id="3" name="ID" dataDxfId="171">
      <calculatedColumnFormula>IF(テーブル3[[#This Row],[氏　　名]]="","",INDEX($Q$13:$Q$34,MATCH(テーブル3[[#This Row],[氏　　名]],$R$13:$R$34,0)))</calculatedColumnFormula>
    </tableColumn>
    <tableColumn id="4" name="氏　　名" dataDxfId="170"/>
    <tableColumn id="5" name="学　校" dataDxfId="169">
      <calculatedColumnFormula>IF(テーブル3[[#This Row],[氏　　名]]="","",INDEX($P$13:$P$32,MATCH(D13,$R$13:$R$32,0)))</calculatedColumnFormula>
    </tableColumn>
    <tableColumn id="19" name="学年" dataDxfId="168">
      <calculatedColumnFormula>IF(テーブル3[[#This Row],[氏　　名]]="","",INDEX($S$13:$S$34,MATCH(D13,$R$13:$R$34,0)))</calculatedColumnFormula>
    </tableColumn>
    <tableColumn id="20" name="1" dataDxfId="167"/>
    <tableColumn id="21" name="2" dataDxfId="166"/>
    <tableColumn id="22" name="3" dataDxfId="165"/>
    <tableColumn id="23" name="4" dataDxfId="164"/>
    <tableColumn id="24" name="5" dataDxfId="163"/>
    <tableColumn id="25" name="6" dataDxfId="162"/>
    <tableColumn id="26" name="合　計" dataDxfId="161"/>
    <tableColumn id="27" name="順位" dataDxfId="16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テーブル5" displayName="テーブル5" ref="A37:N51" totalsRowShown="0" headerRowDxfId="159" dataDxfId="158" tableBorderDxfId="157">
  <autoFilter ref="A37:N51"/>
  <sortState ref="A38:N51">
    <sortCondition ref="A37:A51"/>
  </sortState>
  <tableColumns count="14">
    <tableColumn id="1" name="通番" dataDxfId="156"/>
    <tableColumn id="2" name="射座" dataDxfId="155"/>
    <tableColumn id="3" name="ID" dataDxfId="154">
      <calculatedColumnFormula>IF(テーブル5[[#This Row],[氏　　名]]="","",INDEX($Q$38:$Q$51,MATCH(D38,$R$38:$R$51,0)))</calculatedColumnFormula>
    </tableColumn>
    <tableColumn id="4" name="氏　　名" dataDxfId="153"/>
    <tableColumn id="5" name="学　校" dataDxfId="152">
      <calculatedColumnFormula>IF(テーブル5[[#This Row],[氏　　名]]="","",INDEX($P$38:$P$51,MATCH(D38,$R$38:$R$51,0)))</calculatedColumnFormula>
    </tableColumn>
    <tableColumn id="6" name="学年" dataDxfId="151">
      <calculatedColumnFormula>IF(テーブル5[[#This Row],[氏　　名]]="","",INDEX($S$38:$S$51,MATCH(D38,$R$38:$R$51,0)))</calculatedColumnFormula>
    </tableColumn>
    <tableColumn id="11" name="1" dataDxfId="150"/>
    <tableColumn id="12" name="2" dataDxfId="149"/>
    <tableColumn id="13" name="3" dataDxfId="148"/>
    <tableColumn id="14" name="4" dataDxfId="147"/>
    <tableColumn id="15" name="5" dataDxfId="146"/>
    <tableColumn id="16" name="6" dataDxfId="145"/>
    <tableColumn id="17" name="合　計" dataDxfId="144">
      <calculatedColumnFormula>IF(G38="","",SUM(G38:L38))</calculatedColumnFormula>
    </tableColumn>
    <tableColumn id="18" name="順位" dataDxfId="143">
      <calculatedColumnFormula>IF(M38="","",RANK(M38,$M$38:$M$51))</calculatedColumn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6" name="テーブル6" displayName="テーブル6" ref="A12:P27" totalsRowShown="0" headerRowDxfId="140" tableBorderDxfId="139">
  <autoFilter ref="A12:P27"/>
  <sortState ref="A13:P22">
    <sortCondition ref="A12:A22"/>
  </sortState>
  <tableColumns count="16">
    <tableColumn id="1" name="通番" dataDxfId="138"/>
    <tableColumn id="2" name="列5" dataDxfId="137">
      <calculatedColumnFormula>#REF!</calculatedColumnFormula>
    </tableColumn>
    <tableColumn id="3" name="射座" dataDxfId="136"/>
    <tableColumn id="4" name="ID" dataDxfId="135">
      <calculatedColumnFormula>IF(テーブル6[[#This Row],[氏　　名]]="","",INDEX($S$13:$S$27,MATCH(E13,$T$13:$T$27,0)))</calculatedColumnFormula>
    </tableColumn>
    <tableColumn id="5" name="氏　　名" dataDxfId="134"/>
    <tableColumn id="21" name="学　校" dataDxfId="133">
      <calculatedColumnFormula>IF(テーブル6[[#This Row],[氏　　名]]="","",INDEX($R$13:$R$27,MATCH(E13,$T$13:$T$27,0)))</calculatedColumnFormula>
    </tableColumn>
    <tableColumn id="22" name="学年" dataDxfId="132">
      <calculatedColumnFormula>IF(テーブル6[[#This Row],[氏　　名]]="","",INDEX($U$13:$U$27,MATCH(E13,$T$13:$T$27,0)))</calculatedColumnFormula>
    </tableColumn>
    <tableColumn id="23" name="1" dataDxfId="131"/>
    <tableColumn id="24" name="2" dataDxfId="130"/>
    <tableColumn id="25" name="3" dataDxfId="129"/>
    <tableColumn id="26" name="4" dataDxfId="128"/>
    <tableColumn id="27" name="5" dataDxfId="127"/>
    <tableColumn id="28" name="6" dataDxfId="126"/>
    <tableColumn id="29" name="合　計" dataDxfId="125">
      <calculatedColumnFormula>IF(H13="","",SUM(H13:M13))</calculatedColumnFormula>
    </tableColumn>
    <tableColumn id="30" name="順位" dataDxfId="124">
      <calculatedColumnFormula>IF(N13="","",RANK(N13,$N$13:$N$27))</calculatedColumnFormula>
    </tableColumn>
    <tableColumn id="31" name="X" dataDxfId="123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7" name="テーブル7" displayName="テーブル7" ref="A30:P38" totalsRowShown="0" headerRowDxfId="122" tableBorderDxfId="121">
  <autoFilter ref="A30:P38"/>
  <sortState ref="A31:P38">
    <sortCondition ref="A30:A38"/>
  </sortState>
  <tableColumns count="16">
    <tableColumn id="1" name="通番" dataDxfId="120"/>
    <tableColumn id="2" name="列1" dataDxfId="119"/>
    <tableColumn id="3" name="射座" dataDxfId="118"/>
    <tableColumn id="4" name="ID" dataDxfId="117">
      <calculatedColumnFormula>IF(テーブル7[[#This Row],[氏　　名]]="","",INDEX($S$31:$S$38,MATCH(E31,$T$31:$T$38,0)))</calculatedColumnFormula>
    </tableColumn>
    <tableColumn id="5" name="氏　　名" dataDxfId="116"/>
    <tableColumn id="6" name="学　校" dataDxfId="115">
      <calculatedColumnFormula>IF(テーブル7[[#This Row],[氏　　名]]="","",INDEX($R$31:$R$38,MATCH(E31,$T$31:$T$38,0)))</calculatedColumnFormula>
    </tableColumn>
    <tableColumn id="7" name="学年" dataDxfId="114">
      <calculatedColumnFormula>IF(テーブル7[[#This Row],[氏　　名]]="","",INDEX($U$31:$U$38,MATCH(E31,$T$31:$T$38,0)))</calculatedColumnFormula>
    </tableColumn>
    <tableColumn id="8" name="1" dataDxfId="113"/>
    <tableColumn id="9" name="2" dataDxfId="112"/>
    <tableColumn id="10" name="3" dataDxfId="111"/>
    <tableColumn id="11" name="4" dataDxfId="110"/>
    <tableColumn id="12" name="5" dataDxfId="109"/>
    <tableColumn id="13" name="6" dataDxfId="108"/>
    <tableColumn id="14" name="合　計" dataDxfId="107">
      <calculatedColumnFormula>IF(H31="","",SUM(H31:M31))</calculatedColumnFormula>
    </tableColumn>
    <tableColumn id="15" name="順位" dataDxfId="106"/>
    <tableColumn id="16" name="X" dataDxfId="105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2" name="テーブル413" displayName="テーブル413" ref="A16:J21" totalsRowShown="0" headerRowDxfId="104" dataDxfId="103" tableBorderDxfId="102">
  <autoFilter ref="A16:J21"/>
  <sortState ref="A17:J21">
    <sortCondition ref="A16:A21"/>
  </sortState>
  <tableColumns count="10">
    <tableColumn id="10" name="通番" dataDxfId="101"/>
    <tableColumn id="1" name="チーム名" dataDxfId="100"/>
    <tableColumn id="2" name="氏　　名" dataDxfId="99">
      <calculatedColumnFormula>INDEX(BR予選!$R$13:$R$34,MATCH(テーブル413[[#This Row],[チーム名]]&amp;1,BR予選!$T$13:$T$34,0))</calculatedColumnFormula>
    </tableColumn>
    <tableColumn id="3" name="得　点" dataDxfId="98">
      <calculatedColumnFormula>INDEX(テーブル3[合　計],MATCH(テーブル413[[#This Row],[氏　　名]],テーブル3[氏　　名],0))</calculatedColumnFormula>
    </tableColumn>
    <tableColumn id="4" name="氏　　名2" dataDxfId="97">
      <calculatedColumnFormula>INDEX(BR予選!$R$13:$R$34,MATCH(テーブル413[[#This Row],[チーム名]]&amp;2,BR予選!$T$13:$T$34,0))</calculatedColumnFormula>
    </tableColumn>
    <tableColumn id="5" name="得　点2" dataDxfId="96">
      <calculatedColumnFormula>INDEX(テーブル3[合　計],MATCH(テーブル413[[#This Row],[氏　　名2]],テーブル3[氏　　名],0))</calculatedColumnFormula>
    </tableColumn>
    <tableColumn id="6" name="氏　　名3" dataDxfId="95">
      <calculatedColumnFormula>INDEX(BR予選!$R$13:$R$34,MATCH(テーブル413[[#This Row],[チーム名]]&amp;3,BR予選!$T$13:$T$34,0))</calculatedColumnFormula>
    </tableColumn>
    <tableColumn id="7" name="得　点3" dataDxfId="94">
      <calculatedColumnFormula>INDEX(テーブル3[合　計],MATCH(テーブル413[[#This Row],[氏　　名3]],テーブル3[氏　　名],0))</calculatedColumnFormula>
    </tableColumn>
    <tableColumn id="8" name="合計点" dataDxfId="93">
      <calculatedColumnFormula>IF(テーブル413[[#This Row],[得　点]]="","",テーブル413[[#This Row],[得　点]]+テーブル413[[#This Row],[得　点2]]+テーブル413[[#This Row],[得　点3]])</calculatedColumnFormula>
    </tableColumn>
    <tableColumn id="9" name="順位" dataDxfId="92">
      <calculatedColumnFormula>IF(I17="","",RANK(I17,$I$17:$I$21))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5.xml"/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20"/>
  <sheetViews>
    <sheetView view="pageBreakPreview" zoomScaleNormal="100" zoomScaleSheetLayoutView="100" workbookViewId="0">
      <selection activeCell="T7" sqref="T7"/>
    </sheetView>
  </sheetViews>
  <sheetFormatPr defaultColWidth="9" defaultRowHeight="17.399999999999999"/>
  <cols>
    <col min="1" max="2" width="9" style="29"/>
    <col min="3" max="3" width="14.33203125" style="29" bestFit="1" customWidth="1"/>
    <col min="4" max="16384" width="9" style="29"/>
  </cols>
  <sheetData>
    <row r="1" spans="1:9" ht="34.799999999999997">
      <c r="A1" s="28"/>
      <c r="B1" s="448" t="s">
        <v>211</v>
      </c>
      <c r="C1" s="448"/>
      <c r="D1" s="448"/>
      <c r="E1" s="448"/>
      <c r="F1" s="448"/>
      <c r="G1" s="448"/>
      <c r="H1" s="448"/>
      <c r="I1" s="448"/>
    </row>
    <row r="2" spans="1:9" ht="35.25" customHeight="1">
      <c r="A2" s="28"/>
      <c r="B2" s="449" t="s">
        <v>215</v>
      </c>
      <c r="C2" s="449"/>
      <c r="D2" s="449"/>
      <c r="E2" s="449"/>
      <c r="F2" s="449"/>
      <c r="G2" s="449"/>
      <c r="H2" s="449"/>
      <c r="I2" s="449"/>
    </row>
    <row r="3" spans="1:9" ht="21.6">
      <c r="A3" s="30"/>
      <c r="B3" s="449"/>
      <c r="C3" s="449"/>
      <c r="D3" s="449"/>
      <c r="E3" s="449"/>
      <c r="F3" s="449"/>
      <c r="G3" s="449"/>
      <c r="H3" s="449"/>
      <c r="I3" s="449"/>
    </row>
    <row r="6" spans="1:9" ht="19.2">
      <c r="B6" s="32" t="s">
        <v>123</v>
      </c>
      <c r="C6" s="32"/>
      <c r="D6" s="32"/>
      <c r="E6" s="32"/>
      <c r="F6" s="32"/>
      <c r="G6" s="32"/>
      <c r="H6" s="32"/>
      <c r="I6" s="32"/>
    </row>
    <row r="7" spans="1:9" ht="19.2">
      <c r="B7" s="32"/>
      <c r="C7" s="32" t="s">
        <v>51</v>
      </c>
      <c r="D7" s="32" t="s">
        <v>212</v>
      </c>
      <c r="E7" s="32"/>
      <c r="F7" s="32"/>
      <c r="G7" s="32"/>
      <c r="H7" s="32"/>
      <c r="I7" s="32"/>
    </row>
    <row r="8" spans="1:9" ht="19.2">
      <c r="B8" s="32"/>
      <c r="C8" s="32" t="s">
        <v>52</v>
      </c>
      <c r="D8" s="32" t="s">
        <v>103</v>
      </c>
      <c r="E8" s="32"/>
      <c r="F8" s="32"/>
      <c r="G8" s="32"/>
      <c r="H8" s="32"/>
      <c r="I8" s="32"/>
    </row>
    <row r="9" spans="1:9" ht="19.2">
      <c r="B9" s="32"/>
      <c r="C9" s="32" t="s">
        <v>53</v>
      </c>
      <c r="D9" s="32" t="s">
        <v>196</v>
      </c>
      <c r="E9" s="32"/>
      <c r="F9" s="32"/>
      <c r="G9" s="32"/>
      <c r="H9" s="32"/>
      <c r="I9" s="32"/>
    </row>
    <row r="10" spans="1:9" ht="19.2">
      <c r="B10" s="32"/>
      <c r="C10" s="32" t="s">
        <v>54</v>
      </c>
      <c r="D10" s="32" t="s">
        <v>197</v>
      </c>
      <c r="E10" s="32"/>
      <c r="F10" s="32"/>
      <c r="G10" s="32"/>
      <c r="H10" s="32"/>
      <c r="I10" s="32"/>
    </row>
    <row r="11" spans="1:9" ht="19.2">
      <c r="B11" s="32"/>
      <c r="C11" s="32" t="s">
        <v>55</v>
      </c>
      <c r="D11" s="32" t="s">
        <v>74</v>
      </c>
      <c r="E11" s="32"/>
      <c r="F11" s="32"/>
      <c r="G11" s="32"/>
      <c r="H11" s="32"/>
      <c r="I11" s="32"/>
    </row>
    <row r="12" spans="1:9" ht="19.2">
      <c r="B12" s="32"/>
      <c r="C12" s="32" t="s">
        <v>56</v>
      </c>
      <c r="D12" s="32" t="s">
        <v>200</v>
      </c>
      <c r="E12" s="32"/>
      <c r="F12" s="32"/>
      <c r="G12" s="32"/>
      <c r="H12" s="32"/>
      <c r="I12" s="32"/>
    </row>
    <row r="13" spans="1:9" ht="19.2">
      <c r="B13" s="32"/>
      <c r="C13" s="32"/>
      <c r="D13" s="32"/>
      <c r="E13" s="32"/>
      <c r="F13" s="32"/>
      <c r="G13" s="32"/>
      <c r="H13" s="32"/>
      <c r="I13" s="32"/>
    </row>
    <row r="14" spans="1:9" ht="19.2">
      <c r="B14" s="32"/>
      <c r="C14" s="32"/>
      <c r="D14" s="32"/>
      <c r="E14" s="32"/>
      <c r="F14" s="32"/>
      <c r="G14" s="32"/>
      <c r="H14" s="32"/>
      <c r="I14" s="32"/>
    </row>
    <row r="15" spans="1:9" ht="19.2">
      <c r="B15" s="32" t="s">
        <v>44</v>
      </c>
      <c r="C15" s="32"/>
      <c r="D15" s="32"/>
      <c r="E15" s="32"/>
      <c r="F15" s="32"/>
      <c r="G15" s="32"/>
      <c r="H15" s="32"/>
      <c r="I15" s="32"/>
    </row>
    <row r="16" spans="1:9" ht="19.2">
      <c r="B16" s="32"/>
      <c r="C16" s="32" t="s">
        <v>51</v>
      </c>
      <c r="D16" s="32" t="s">
        <v>213</v>
      </c>
      <c r="E16" s="32"/>
      <c r="F16" s="32"/>
      <c r="G16" s="32"/>
      <c r="H16" s="32"/>
      <c r="I16" s="32"/>
    </row>
    <row r="17" spans="2:9" ht="19.2">
      <c r="B17" s="32"/>
      <c r="C17" s="32" t="s">
        <v>52</v>
      </c>
      <c r="D17" s="32" t="s">
        <v>117</v>
      </c>
      <c r="E17" s="32"/>
      <c r="F17" s="32"/>
      <c r="G17" s="32"/>
      <c r="H17" s="32"/>
      <c r="I17" s="32"/>
    </row>
    <row r="18" spans="2:9" ht="19.2">
      <c r="B18" s="32"/>
      <c r="C18" s="32" t="s">
        <v>53</v>
      </c>
      <c r="D18" s="32" t="s">
        <v>198</v>
      </c>
      <c r="E18" s="32"/>
      <c r="F18" s="32"/>
      <c r="G18" s="32"/>
      <c r="H18" s="32"/>
      <c r="I18" s="32"/>
    </row>
    <row r="19" spans="2:9" ht="19.2">
      <c r="B19" s="32"/>
      <c r="C19" s="32" t="s">
        <v>54</v>
      </c>
      <c r="D19" s="32" t="s">
        <v>50</v>
      </c>
      <c r="E19" s="32"/>
      <c r="F19" s="32"/>
      <c r="G19" s="32"/>
      <c r="H19" s="32"/>
      <c r="I19" s="32"/>
    </row>
    <row r="20" spans="2:9" ht="19.2">
      <c r="B20" s="32"/>
      <c r="C20" s="32" t="s">
        <v>56</v>
      </c>
      <c r="D20" s="32" t="s">
        <v>199</v>
      </c>
      <c r="E20" s="32"/>
      <c r="F20" s="32"/>
      <c r="G20" s="32"/>
      <c r="H20" s="32"/>
      <c r="I20" s="32"/>
    </row>
  </sheetData>
  <mergeCells count="2">
    <mergeCell ref="B1:I1"/>
    <mergeCell ref="B2:I3"/>
  </mergeCells>
  <phoneticPr fontId="1"/>
  <printOptions horizontalCentered="1"/>
  <pageMargins left="0" right="0" top="0.98425196850393704" bottom="0" header="0" footer="0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AD84"/>
  <sheetViews>
    <sheetView view="pageBreakPreview" zoomScale="70" zoomScaleNormal="100" zoomScaleSheetLayoutView="70" workbookViewId="0">
      <pane xSplit="17" topLeftCell="R1" activePane="topRight" state="frozenSplit"/>
      <selection activeCell="D19" sqref="D19"/>
      <selection pane="topRight" activeCell="W7" sqref="W7"/>
    </sheetView>
  </sheetViews>
  <sheetFormatPr defaultColWidth="9" defaultRowHeight="13.2"/>
  <cols>
    <col min="1" max="1" width="0.88671875" style="6" customWidth="1"/>
    <col min="2" max="2" width="3.6640625" style="1" bestFit="1" customWidth="1"/>
    <col min="3" max="3" width="3.109375" style="3" bestFit="1" customWidth="1"/>
    <col min="4" max="4" width="13.21875" style="1" bestFit="1" customWidth="1"/>
    <col min="5" max="5" width="9.21875" style="1" bestFit="1" customWidth="1"/>
    <col min="6" max="6" width="8.77734375" style="1" bestFit="1" customWidth="1"/>
    <col min="7" max="7" width="7.33203125" style="1" bestFit="1" customWidth="1"/>
    <col min="8" max="15" width="7.33203125" style="1" customWidth="1"/>
    <col min="16" max="16" width="8.109375" style="1" bestFit="1" customWidth="1"/>
    <col min="17" max="17" width="7.33203125" style="1" bestFit="1" customWidth="1"/>
    <col min="18" max="21" width="9" style="1"/>
    <col min="22" max="22" width="5.33203125" style="1" bestFit="1" customWidth="1"/>
    <col min="23" max="30" width="5.77734375" style="1" bestFit="1" customWidth="1"/>
    <col min="31" max="16384" width="9" style="1"/>
  </cols>
  <sheetData>
    <row r="1" spans="1:30" ht="30" customHeight="1"/>
    <row r="2" spans="1:30" ht="30" customHeight="1">
      <c r="C2" s="2" t="s">
        <v>72</v>
      </c>
      <c r="D2" s="2"/>
      <c r="E2" s="2"/>
      <c r="F2" s="7" t="s">
        <v>80</v>
      </c>
      <c r="G2" s="2"/>
      <c r="H2" s="2"/>
      <c r="I2" s="2"/>
      <c r="J2" s="2"/>
      <c r="K2" s="2"/>
      <c r="L2" s="2"/>
      <c r="M2" s="2"/>
      <c r="N2" s="2"/>
      <c r="O2" s="2"/>
    </row>
    <row r="3" spans="1:30" ht="16.8" thickBot="1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30">
      <c r="A4" s="481"/>
      <c r="B4" s="520" t="s">
        <v>4</v>
      </c>
      <c r="C4" s="491" t="s">
        <v>0</v>
      </c>
      <c r="D4" s="493" t="s">
        <v>1</v>
      </c>
      <c r="E4" s="493" t="s">
        <v>2</v>
      </c>
      <c r="F4" s="518" t="s">
        <v>29</v>
      </c>
      <c r="G4" s="511" t="s">
        <v>62</v>
      </c>
      <c r="H4" s="512"/>
      <c r="I4" s="513" t="s">
        <v>63</v>
      </c>
      <c r="J4" s="514"/>
      <c r="K4" s="514"/>
      <c r="L4" s="514"/>
      <c r="M4" s="514"/>
      <c r="N4" s="514"/>
      <c r="O4" s="500"/>
      <c r="P4" s="510" t="s">
        <v>8</v>
      </c>
      <c r="Q4" s="500" t="s">
        <v>64</v>
      </c>
    </row>
    <row r="5" spans="1:30" ht="13.8" thickBot="1">
      <c r="A5" s="481"/>
      <c r="B5" s="521"/>
      <c r="C5" s="492"/>
      <c r="D5" s="494"/>
      <c r="E5" s="494"/>
      <c r="F5" s="519"/>
      <c r="G5" s="8" t="s">
        <v>70</v>
      </c>
      <c r="H5" s="9" t="s">
        <v>71</v>
      </c>
      <c r="I5" s="515"/>
      <c r="J5" s="516"/>
      <c r="K5" s="516"/>
      <c r="L5" s="516"/>
      <c r="M5" s="516"/>
      <c r="N5" s="516"/>
      <c r="O5" s="501"/>
      <c r="P5" s="509"/>
      <c r="Q5" s="501"/>
    </row>
    <row r="6" spans="1:30" ht="13.5" customHeight="1" thickBot="1">
      <c r="A6" s="495">
        <v>1</v>
      </c>
      <c r="B6" s="488">
        <f>SMALL($W$6:$AD$6,A6)</f>
        <v>1.0000002090751581</v>
      </c>
      <c r="C6" s="485" t="str">
        <f>HLOOKUP($B6,$W$6:$AD$35,2,FALSE)</f>
        <v>A</v>
      </c>
      <c r="D6" s="482">
        <f>HLOOKUP($B6,$W$6:$AD$35,3,FALSE)</f>
        <v>0</v>
      </c>
      <c r="E6" s="482">
        <f>HLOOKUP($B6,$W$6:$AD$35,4,FALSE)</f>
        <v>0</v>
      </c>
      <c r="F6" s="496">
        <f>HLOOKUP($B6,$W$6:$AD$35,5,FALSE)</f>
        <v>0</v>
      </c>
      <c r="G6" s="10" t="str">
        <f t="shared" ref="G6:O6" si="0">IF(G7="","",SUM(G7:G11))</f>
        <v/>
      </c>
      <c r="H6" s="11" t="str">
        <f t="shared" si="0"/>
        <v/>
      </c>
      <c r="I6" s="11" t="str">
        <f t="shared" si="0"/>
        <v/>
      </c>
      <c r="J6" s="11" t="str">
        <f t="shared" si="0"/>
        <v/>
      </c>
      <c r="K6" s="11" t="str">
        <f t="shared" si="0"/>
        <v/>
      </c>
      <c r="L6" s="11" t="str">
        <f t="shared" si="0"/>
        <v/>
      </c>
      <c r="M6" s="11" t="str">
        <f t="shared" si="0"/>
        <v/>
      </c>
      <c r="N6" s="11" t="str">
        <f t="shared" si="0"/>
        <v/>
      </c>
      <c r="O6" s="12" t="str">
        <f t="shared" si="0"/>
        <v/>
      </c>
      <c r="P6" s="507">
        <f>SUM(G6:O6)</f>
        <v>0</v>
      </c>
      <c r="Q6" s="502"/>
      <c r="V6" s="13" t="s">
        <v>4</v>
      </c>
      <c r="W6" s="5">
        <f t="shared" ref="W6:AD6" si="1">RANK(W$35,$W$35:$AD$35)+COLUMN(A1)/9^7</f>
        <v>1.0000002090751581</v>
      </c>
      <c r="X6" s="5">
        <f t="shared" si="1"/>
        <v>1.0000004181503162</v>
      </c>
      <c r="Y6" s="5">
        <f t="shared" si="1"/>
        <v>1.0000006272254744</v>
      </c>
      <c r="Z6" s="5">
        <f t="shared" si="1"/>
        <v>1.0000008363006325</v>
      </c>
      <c r="AA6" s="5">
        <f t="shared" si="1"/>
        <v>1.0000010453757906</v>
      </c>
      <c r="AB6" s="5">
        <f t="shared" si="1"/>
        <v>1.0000012544509487</v>
      </c>
      <c r="AC6" s="5">
        <f t="shared" si="1"/>
        <v>1.000001463526107</v>
      </c>
      <c r="AD6" s="5">
        <f t="shared" si="1"/>
        <v>1.000001672601265</v>
      </c>
    </row>
    <row r="7" spans="1:30" ht="13.5" customHeight="1">
      <c r="A7" s="495"/>
      <c r="B7" s="489"/>
      <c r="C7" s="486"/>
      <c r="D7" s="483"/>
      <c r="E7" s="483"/>
      <c r="F7" s="497"/>
      <c r="G7" s="14" t="str">
        <f>IF(HLOOKUP($B6,$W$6:$AD$35,6,FALSE)=0,"",HLOOKUP($B6,$W$6:$AD$35,6,FALSE))</f>
        <v/>
      </c>
      <c r="H7" s="15" t="str">
        <f>IF(HLOOKUP($B6,$W$6:$AD$35,11,FALSE)=0,"",HLOOKUP($B6,$W$6:$AD$35,11,FALSE))</f>
        <v/>
      </c>
      <c r="I7" s="15" t="str">
        <f>IF(HLOOKUP($B6,$W$6:$AD$35,16,FALSE)=0,"",HLOOKUP($B6,$W$6:$AD$35,16,FALSE))</f>
        <v/>
      </c>
      <c r="J7" s="15" t="str">
        <f>IF(HLOOKUP($B6,$W$6:$AD$35,18,FALSE)=0,"",HLOOKUP($B6,$W$6:$AD$35,18,FALSE))</f>
        <v/>
      </c>
      <c r="K7" s="15" t="str">
        <f>IF(HLOOKUP($B6,$W$6:$AD$35,20,FALSE)=0,"",HLOOKUP($B6,$W$6:$AD$35,20,FALSE))</f>
        <v/>
      </c>
      <c r="L7" s="15" t="str">
        <f>IF(HLOOKUP($B6,$W$6:$AD$35,22,FALSE)=0,"",HLOOKUP($B6,$W$6:$AD$35,22,FALSE))</f>
        <v/>
      </c>
      <c r="M7" s="15" t="str">
        <f>IF(HLOOKUP($B6,$W$6:$AD$35,24,FALSE)=0,"",HLOOKUP($B6,$W$6:$AD$35,24,FALSE))</f>
        <v/>
      </c>
      <c r="N7" s="15" t="str">
        <f>IF(HLOOKUP($B6,$W$6:$AD$35,26,FALSE)=0,"",HLOOKUP($B6,$W$6:$AD$35,26,FALSE))</f>
        <v/>
      </c>
      <c r="O7" s="16" t="str">
        <f>IF(HLOOKUP($B6,$W$6:$AD$35,28,FALSE)=0,"",HLOOKUP($B6,$W$6:$AD$35,28,FALSE))</f>
        <v/>
      </c>
      <c r="P7" s="508"/>
      <c r="Q7" s="503"/>
      <c r="V7" s="499"/>
      <c r="W7" s="17" t="s">
        <v>59</v>
      </c>
      <c r="X7" s="17" t="s">
        <v>60</v>
      </c>
      <c r="Y7" s="17" t="s">
        <v>65</v>
      </c>
      <c r="Z7" s="17" t="s">
        <v>66</v>
      </c>
      <c r="AA7" s="17" t="s">
        <v>67</v>
      </c>
      <c r="AB7" s="17" t="s">
        <v>68</v>
      </c>
      <c r="AC7" s="17" t="s">
        <v>61</v>
      </c>
      <c r="AD7" s="17" t="s">
        <v>69</v>
      </c>
    </row>
    <row r="8" spans="1:30" ht="13.5" customHeight="1">
      <c r="A8" s="495"/>
      <c r="B8" s="489"/>
      <c r="C8" s="486"/>
      <c r="D8" s="483"/>
      <c r="E8" s="483"/>
      <c r="F8" s="497"/>
      <c r="G8" s="14" t="str">
        <f>IF(HLOOKUP($B6,$W$6:$AD$35,7,FALSE)=0,"",HLOOKUP($B6,$W$6:$AD$35,7,FALSE))</f>
        <v/>
      </c>
      <c r="H8" s="15" t="str">
        <f>IF(HLOOKUP($B6,$W$6:$AD$35,12,FALSE)=0,"",HLOOKUP($B6,$W$6:$AD$35,12,FALSE))</f>
        <v/>
      </c>
      <c r="I8" s="15" t="str">
        <f>IF(HLOOKUP($B6,$W$6:$AD$35,17,FALSE)=0,"",HLOOKUP($B6,$W$6:$AD$35,17,FALSE))</f>
        <v/>
      </c>
      <c r="J8" s="15" t="str">
        <f>IF(HLOOKUP($B6,$W$6:$AD$35,19,FALSE)=0,"",HLOOKUP($B6,$W$6:$AD$35,19,FALSE))</f>
        <v/>
      </c>
      <c r="K8" s="15" t="str">
        <f>IF(HLOOKUP($B6,$W$6:$AD$35,21,FALSE)=0,"",HLOOKUP($B6,$W$6:$AD$35,21,FALSE))</f>
        <v/>
      </c>
      <c r="L8" s="15" t="str">
        <f>IF(HLOOKUP($B6,$W$6:$AD$35,23,FALSE)=0,"",HLOOKUP($B6,$W$6:$AD$35,23,FALSE))</f>
        <v/>
      </c>
      <c r="M8" s="15" t="str">
        <f>IF(HLOOKUP($B6,$W$6:$AD$35,25,FALSE)=0,"",HLOOKUP($B6,$W$6:$AD$35,25,FALSE))</f>
        <v/>
      </c>
      <c r="N8" s="15" t="str">
        <f>IF(HLOOKUP($B6,$W$6:$AD$35,27,FALSE)=0,"",HLOOKUP($B6,$W$6:$AD$35,27,FALSE))</f>
        <v/>
      </c>
      <c r="O8" s="16" t="str">
        <f>IF(HLOOKUP($B6,$W$6:$AD$35,29,FALSE)=0,"",HLOOKUP($B6,$W$6:$AD$35,29,FALSE))</f>
        <v/>
      </c>
      <c r="P8" s="508"/>
      <c r="Q8" s="503"/>
      <c r="V8" s="499"/>
      <c r="W8" s="17"/>
      <c r="X8" s="17"/>
      <c r="Y8" s="17"/>
      <c r="Z8" s="17"/>
      <c r="AA8" s="17"/>
      <c r="AB8" s="17"/>
      <c r="AC8" s="17"/>
      <c r="AD8" s="17"/>
    </row>
    <row r="9" spans="1:30" ht="13.5" customHeight="1">
      <c r="A9" s="495"/>
      <c r="B9" s="489"/>
      <c r="C9" s="486"/>
      <c r="D9" s="483"/>
      <c r="E9" s="483"/>
      <c r="F9" s="497"/>
      <c r="G9" s="14" t="str">
        <f>IF(HLOOKUP($B6,$W$6:$AD$35,8,FALSE)=0,"",HLOOKUP($B6,$W$6:$AD$35,8,FALSE))</f>
        <v/>
      </c>
      <c r="H9" s="15" t="str">
        <f>IF(HLOOKUP($B6,$W$6:$AD$35,13,FALSE)=0,"",HLOOKUP($B6,$W$6:$AD$35,13,FALSE))</f>
        <v/>
      </c>
      <c r="I9" s="18"/>
      <c r="J9" s="18"/>
      <c r="K9" s="18"/>
      <c r="L9" s="18"/>
      <c r="M9" s="18"/>
      <c r="N9" s="18"/>
      <c r="O9" s="19"/>
      <c r="P9" s="508"/>
      <c r="Q9" s="503"/>
      <c r="V9" s="499"/>
      <c r="W9" s="17"/>
      <c r="X9" s="17"/>
      <c r="Y9" s="17"/>
      <c r="Z9" s="17"/>
      <c r="AA9" s="17"/>
      <c r="AB9" s="17"/>
      <c r="AC9" s="17"/>
      <c r="AD9" s="17"/>
    </row>
    <row r="10" spans="1:30" ht="13.5" customHeight="1">
      <c r="A10" s="495"/>
      <c r="B10" s="489"/>
      <c r="C10" s="486"/>
      <c r="D10" s="483"/>
      <c r="E10" s="483"/>
      <c r="F10" s="497"/>
      <c r="G10" s="14" t="str">
        <f>IF(HLOOKUP($B6,$W$6:$AD$35,9,FALSE)=0,"",HLOOKUP($B6,$W$6:$AD$35,9,FALSE))</f>
        <v/>
      </c>
      <c r="H10" s="15" t="str">
        <f>IF(HLOOKUP($B6,$W$6:$AD$35,14,FALSE)=0,"",HLOOKUP($B6,$W$6:$AD$35,14,FALSE))</f>
        <v/>
      </c>
      <c r="I10" s="20"/>
      <c r="J10" s="20"/>
      <c r="K10" s="20"/>
      <c r="L10" s="20"/>
      <c r="M10" s="20"/>
      <c r="N10" s="20"/>
      <c r="O10" s="21"/>
      <c r="P10" s="508"/>
      <c r="Q10" s="503"/>
      <c r="V10" s="499"/>
      <c r="W10" s="17"/>
      <c r="X10" s="17"/>
      <c r="Y10" s="17"/>
      <c r="Z10" s="17"/>
      <c r="AA10" s="17"/>
      <c r="AB10" s="17"/>
      <c r="AC10" s="17"/>
      <c r="AD10" s="17"/>
    </row>
    <row r="11" spans="1:30" ht="13.5" customHeight="1" thickBot="1">
      <c r="A11" s="495"/>
      <c r="B11" s="490"/>
      <c r="C11" s="487"/>
      <c r="D11" s="484"/>
      <c r="E11" s="484"/>
      <c r="F11" s="498"/>
      <c r="G11" s="22" t="str">
        <f>IF(HLOOKUP($B6,$W$6:$AD$35,10,FALSE)=0,"",HLOOKUP($B6,$W$6:$AD$35,10,FALSE))</f>
        <v/>
      </c>
      <c r="H11" s="23" t="str">
        <f>IF(HLOOKUP($B6,$W$6:$AD$35,15,FALSE)=0,"",HLOOKUP($B6,$W$6:$AD$35,15,FALSE))</f>
        <v/>
      </c>
      <c r="I11" s="24"/>
      <c r="J11" s="24"/>
      <c r="K11" s="24"/>
      <c r="L11" s="24"/>
      <c r="M11" s="24"/>
      <c r="N11" s="24"/>
      <c r="O11" s="25"/>
      <c r="P11" s="509"/>
      <c r="Q11" s="504"/>
      <c r="V11" s="4">
        <v>1</v>
      </c>
      <c r="W11" s="26"/>
      <c r="X11" s="26"/>
      <c r="Y11" s="26"/>
      <c r="Z11" s="26"/>
      <c r="AA11" s="26"/>
      <c r="AB11" s="26"/>
      <c r="AC11" s="26"/>
      <c r="AD11" s="26"/>
    </row>
    <row r="12" spans="1:30" ht="13.5" customHeight="1" thickBot="1">
      <c r="A12" s="495">
        <v>2</v>
      </c>
      <c r="B12" s="488">
        <f>SMALL($W$6:$AD$6,A12)</f>
        <v>1.0000004181503162</v>
      </c>
      <c r="C12" s="485" t="str">
        <f>HLOOKUP($B12,$W$6:$AD$35,2,FALSE)</f>
        <v>B</v>
      </c>
      <c r="D12" s="482">
        <f>HLOOKUP($B12,$W$6:$AD$35,3,FALSE)</f>
        <v>0</v>
      </c>
      <c r="E12" s="482">
        <f>HLOOKUP($B12,$W$6:$AD$35,4,FALSE)</f>
        <v>0</v>
      </c>
      <c r="F12" s="496">
        <f>HLOOKUP($B12,$W$6:$AD$35,5,FALSE)</f>
        <v>0</v>
      </c>
      <c r="G12" s="10" t="str">
        <f t="shared" ref="G12:O12" si="2">IF(G13="","",SUM(G13:G17))</f>
        <v/>
      </c>
      <c r="H12" s="11" t="str">
        <f t="shared" si="2"/>
        <v/>
      </c>
      <c r="I12" s="11" t="str">
        <f t="shared" si="2"/>
        <v/>
      </c>
      <c r="J12" s="11" t="str">
        <f t="shared" si="2"/>
        <v/>
      </c>
      <c r="K12" s="11" t="str">
        <f t="shared" si="2"/>
        <v/>
      </c>
      <c r="L12" s="11" t="str">
        <f t="shared" si="2"/>
        <v/>
      </c>
      <c r="M12" s="11" t="str">
        <f t="shared" si="2"/>
        <v/>
      </c>
      <c r="N12" s="11" t="str">
        <f t="shared" si="2"/>
        <v/>
      </c>
      <c r="O12" s="12" t="str">
        <f t="shared" si="2"/>
        <v/>
      </c>
      <c r="P12" s="507">
        <f>SUM(G12:O12)</f>
        <v>0</v>
      </c>
      <c r="Q12" s="505">
        <f>P6-P12</f>
        <v>0</v>
      </c>
      <c r="V12" s="4">
        <v>2</v>
      </c>
      <c r="W12" s="26"/>
      <c r="X12" s="26"/>
      <c r="Y12" s="26"/>
      <c r="Z12" s="26"/>
      <c r="AA12" s="26"/>
      <c r="AB12" s="26"/>
      <c r="AC12" s="26"/>
      <c r="AD12" s="26"/>
    </row>
    <row r="13" spans="1:30" ht="13.5" customHeight="1">
      <c r="A13" s="495"/>
      <c r="B13" s="489"/>
      <c r="C13" s="486"/>
      <c r="D13" s="483"/>
      <c r="E13" s="483"/>
      <c r="F13" s="497"/>
      <c r="G13" s="14" t="str">
        <f>IF(HLOOKUP($B12,$W$6:$AD$35,6,FALSE)=0,"",HLOOKUP($B12,$W$6:$AD$35,6,FALSE))</f>
        <v/>
      </c>
      <c r="H13" s="15" t="str">
        <f>IF(HLOOKUP($B12,$W$6:$AD$35,11,FALSE)=0,"",HLOOKUP($B12,$W$6:$AD$35,11,FALSE))</f>
        <v/>
      </c>
      <c r="I13" s="15" t="str">
        <f>IF(HLOOKUP($B12,$W$6:$AD$35,16,FALSE)=0,"",HLOOKUP($B12,$W$6:$AD$35,16,FALSE))</f>
        <v/>
      </c>
      <c r="J13" s="15" t="str">
        <f>IF(HLOOKUP($B12,$W$6:$AD$35,18,FALSE)=0,"",HLOOKUP($B12,$W$6:$AD$35,18,FALSE))</f>
        <v/>
      </c>
      <c r="K13" s="15" t="str">
        <f>IF(HLOOKUP($B12,$W$6:$AD$35,20,FALSE)=0,"",HLOOKUP($B12,$W$6:$AD$35,20,FALSE))</f>
        <v/>
      </c>
      <c r="L13" s="15" t="str">
        <f>IF(HLOOKUP($B12,$W$6:$AD$35,22,FALSE)=0,"",HLOOKUP($B12,$W$6:$AD$35,22,FALSE))</f>
        <v/>
      </c>
      <c r="M13" s="15" t="str">
        <f>IF(HLOOKUP($B12,$W$6:$AD$35,24,FALSE)=0,"",HLOOKUP($B12,$W$6:$AD$35,24,FALSE))</f>
        <v/>
      </c>
      <c r="N13" s="15" t="str">
        <f>IF(HLOOKUP($B12,$W$6:$AD$35,26,FALSE)=0,"",HLOOKUP($B12,$W$6:$AD$35,26,FALSE))</f>
        <v/>
      </c>
      <c r="O13" s="16" t="str">
        <f>IF(HLOOKUP($B12,$W$6:$AD$35,28,FALSE)=0,"",HLOOKUP($B12,$W$6:$AD$35,28,FALSE))</f>
        <v/>
      </c>
      <c r="P13" s="508"/>
      <c r="Q13" s="506"/>
      <c r="V13" s="4">
        <v>3</v>
      </c>
      <c r="W13" s="26"/>
      <c r="X13" s="26"/>
      <c r="Y13" s="26"/>
      <c r="Z13" s="26"/>
      <c r="AA13" s="26"/>
      <c r="AB13" s="26"/>
      <c r="AC13" s="26"/>
      <c r="AD13" s="26"/>
    </row>
    <row r="14" spans="1:30" ht="13.5" customHeight="1">
      <c r="A14" s="495"/>
      <c r="B14" s="489"/>
      <c r="C14" s="486"/>
      <c r="D14" s="483"/>
      <c r="E14" s="483"/>
      <c r="F14" s="497"/>
      <c r="G14" s="14" t="str">
        <f>IF(HLOOKUP($B12,$W$6:$AD$35,7,FALSE)=0,"",HLOOKUP($B12,$W$6:$AD$35,7,FALSE))</f>
        <v/>
      </c>
      <c r="H14" s="15" t="str">
        <f>IF(HLOOKUP($B12,$W$6:$AD$35,12,FALSE)=0,"",HLOOKUP($B12,$W$6:$AD$35,12,FALSE))</f>
        <v/>
      </c>
      <c r="I14" s="15" t="str">
        <f>IF(HLOOKUP($B12,$W$6:$AD$35,17,FALSE)=0,"",HLOOKUP($B12,$W$6:$AD$35,17,FALSE))</f>
        <v/>
      </c>
      <c r="J14" s="15" t="str">
        <f>IF(HLOOKUP($B12,$W$6:$AD$35,19,FALSE)=0,"",HLOOKUP($B12,$W$6:$AD$35,19,FALSE))</f>
        <v/>
      </c>
      <c r="K14" s="15" t="str">
        <f>IF(HLOOKUP($B12,$W$6:$AD$35,21,FALSE)=0,"",HLOOKUP($B12,$W$6:$AD$35,21,FALSE))</f>
        <v/>
      </c>
      <c r="L14" s="15" t="str">
        <f>IF(HLOOKUP($B12,$W$6:$AD$35,23,FALSE)=0,"",HLOOKUP($B12,$W$6:$AD$35,23,FALSE))</f>
        <v/>
      </c>
      <c r="M14" s="15" t="str">
        <f>IF(HLOOKUP($B12,$W$6:$AD$35,25,FALSE)=0,"",HLOOKUP($B12,$W$6:$AD$35,25,FALSE))</f>
        <v/>
      </c>
      <c r="N14" s="15" t="str">
        <f>IF(HLOOKUP($B12,$W$6:$AD$35,27,FALSE)=0,"",HLOOKUP($B12,$W$6:$AD$35,27,FALSE))</f>
        <v/>
      </c>
      <c r="O14" s="16" t="str">
        <f>IF(HLOOKUP($B12,$W$6:$AD$35,29,FALSE)=0,"",HLOOKUP($B12,$W$6:$AD$35,29,FALSE))</f>
        <v/>
      </c>
      <c r="P14" s="508"/>
      <c r="Q14" s="506"/>
      <c r="V14" s="4">
        <v>4</v>
      </c>
      <c r="W14" s="26"/>
      <c r="X14" s="26"/>
      <c r="Y14" s="26"/>
      <c r="Z14" s="26"/>
      <c r="AA14" s="26"/>
      <c r="AB14" s="26"/>
      <c r="AC14" s="26"/>
      <c r="AD14" s="26"/>
    </row>
    <row r="15" spans="1:30" ht="13.5" customHeight="1">
      <c r="A15" s="495"/>
      <c r="B15" s="489"/>
      <c r="C15" s="486"/>
      <c r="D15" s="483"/>
      <c r="E15" s="483"/>
      <c r="F15" s="497"/>
      <c r="G15" s="14" t="str">
        <f>IF(HLOOKUP($B12,$W$6:$AD$35,8,FALSE)=0,"",HLOOKUP($B12,$W$6:$AD$35,8,FALSE))</f>
        <v/>
      </c>
      <c r="H15" s="15" t="str">
        <f>IF(HLOOKUP($B12,$W$6:$AD$35,13,FALSE)=0,"",HLOOKUP($B12,$W$6:$AD$35,13,FALSE))</f>
        <v/>
      </c>
      <c r="I15" s="18"/>
      <c r="J15" s="18"/>
      <c r="K15" s="18"/>
      <c r="L15" s="18"/>
      <c r="M15" s="18"/>
      <c r="N15" s="18"/>
      <c r="O15" s="19"/>
      <c r="P15" s="508"/>
      <c r="Q15" s="506"/>
      <c r="V15" s="4">
        <v>5</v>
      </c>
      <c r="W15" s="26"/>
      <c r="X15" s="26"/>
      <c r="Y15" s="26"/>
      <c r="Z15" s="26"/>
      <c r="AA15" s="26"/>
      <c r="AB15" s="26"/>
      <c r="AC15" s="26"/>
      <c r="AD15" s="26"/>
    </row>
    <row r="16" spans="1:30" ht="13.5" customHeight="1">
      <c r="A16" s="495"/>
      <c r="B16" s="489"/>
      <c r="C16" s="486"/>
      <c r="D16" s="483"/>
      <c r="E16" s="483"/>
      <c r="F16" s="497"/>
      <c r="G16" s="14" t="str">
        <f>IF(HLOOKUP($B12,$W$6:$AD$35,9,FALSE)=0,"",HLOOKUP($B12,$W$6:$AD$35,9,FALSE))</f>
        <v/>
      </c>
      <c r="H16" s="15" t="str">
        <f>IF(HLOOKUP($B12,$W$6:$AD$35,14,FALSE)=0,"",HLOOKUP($B12,$W$6:$AD$35,14,FALSE))</f>
        <v/>
      </c>
      <c r="I16" s="20"/>
      <c r="J16" s="20"/>
      <c r="K16" s="20"/>
      <c r="L16" s="20"/>
      <c r="M16" s="20"/>
      <c r="N16" s="20"/>
      <c r="O16" s="21"/>
      <c r="P16" s="508"/>
      <c r="Q16" s="506"/>
      <c r="V16" s="4">
        <v>6</v>
      </c>
      <c r="W16" s="26"/>
      <c r="X16" s="26"/>
      <c r="Y16" s="26"/>
      <c r="Z16" s="26"/>
      <c r="AA16" s="26"/>
      <c r="AB16" s="26"/>
      <c r="AC16" s="26"/>
      <c r="AD16" s="26"/>
    </row>
    <row r="17" spans="1:30" ht="13.5" customHeight="1" thickBot="1">
      <c r="A17" s="495"/>
      <c r="B17" s="490"/>
      <c r="C17" s="487"/>
      <c r="D17" s="484"/>
      <c r="E17" s="484"/>
      <c r="F17" s="498"/>
      <c r="G17" s="22" t="str">
        <f>IF(HLOOKUP($B12,$W$6:$AD$35,10,FALSE)=0,"",HLOOKUP($B12,$W$6:$AD$35,10,FALSE))</f>
        <v/>
      </c>
      <c r="H17" s="23" t="str">
        <f>IF(HLOOKUP($B12,$W$6:$AD$35,15,FALSE)=0,"",HLOOKUP($B12,$W$6:$AD$35,15,FALSE))</f>
        <v/>
      </c>
      <c r="I17" s="24"/>
      <c r="J17" s="24"/>
      <c r="K17" s="24"/>
      <c r="L17" s="24"/>
      <c r="M17" s="24"/>
      <c r="N17" s="24"/>
      <c r="O17" s="25"/>
      <c r="P17" s="509"/>
      <c r="Q17" s="501"/>
      <c r="V17" s="4">
        <v>7</v>
      </c>
      <c r="W17" s="26"/>
      <c r="X17" s="26"/>
      <c r="Y17" s="26"/>
      <c r="Z17" s="26"/>
      <c r="AA17" s="26"/>
      <c r="AB17" s="26"/>
      <c r="AC17" s="26"/>
      <c r="AD17" s="26"/>
    </row>
    <row r="18" spans="1:30" ht="13.5" customHeight="1" thickBot="1">
      <c r="A18" s="495">
        <v>3</v>
      </c>
      <c r="B18" s="488">
        <f>SMALL($W$6:$AD$6,A18)</f>
        <v>1.0000006272254744</v>
      </c>
      <c r="C18" s="485" t="str">
        <f>HLOOKUP($B18,$W$6:$AD$35,2,FALSE)</f>
        <v>C</v>
      </c>
      <c r="D18" s="482">
        <f>HLOOKUP($B18,$W$6:$AD$35,3,FALSE)</f>
        <v>0</v>
      </c>
      <c r="E18" s="482">
        <f>HLOOKUP($B18,$W$6:$AD$35,4,FALSE)</f>
        <v>0</v>
      </c>
      <c r="F18" s="496">
        <f>HLOOKUP($B18,$W$6:$AD$35,5,FALSE)</f>
        <v>0</v>
      </c>
      <c r="G18" s="10" t="str">
        <f t="shared" ref="G18:O18" si="3">IF(G19="","",SUM(G19:G23))</f>
        <v/>
      </c>
      <c r="H18" s="11" t="str">
        <f t="shared" si="3"/>
        <v/>
      </c>
      <c r="I18" s="11" t="str">
        <f t="shared" si="3"/>
        <v/>
      </c>
      <c r="J18" s="11" t="str">
        <f t="shared" si="3"/>
        <v/>
      </c>
      <c r="K18" s="11" t="str">
        <f t="shared" si="3"/>
        <v/>
      </c>
      <c r="L18" s="11" t="str">
        <f t="shared" si="3"/>
        <v/>
      </c>
      <c r="M18" s="11" t="str">
        <f t="shared" si="3"/>
        <v/>
      </c>
      <c r="N18" s="11" t="str">
        <f t="shared" si="3"/>
        <v/>
      </c>
      <c r="O18" s="12" t="str">
        <f t="shared" si="3"/>
        <v/>
      </c>
      <c r="P18" s="507">
        <f>SUM(G18:O18)</f>
        <v>0</v>
      </c>
      <c r="Q18" s="505">
        <f>P12-P18</f>
        <v>0</v>
      </c>
      <c r="V18" s="4">
        <v>8</v>
      </c>
      <c r="W18" s="26"/>
      <c r="X18" s="26"/>
      <c r="Y18" s="26"/>
      <c r="Z18" s="26"/>
      <c r="AA18" s="26"/>
      <c r="AB18" s="26"/>
      <c r="AC18" s="26"/>
      <c r="AD18" s="26"/>
    </row>
    <row r="19" spans="1:30" ht="13.5" customHeight="1">
      <c r="A19" s="495"/>
      <c r="B19" s="489"/>
      <c r="C19" s="486"/>
      <c r="D19" s="522"/>
      <c r="E19" s="483"/>
      <c r="F19" s="497"/>
      <c r="G19" s="14" t="str">
        <f>IF(HLOOKUP($B18,$W$6:$AD$35,6,FALSE)=0,"",HLOOKUP($B18,$W$6:$AD$35,6,FALSE))</f>
        <v/>
      </c>
      <c r="H19" s="15" t="str">
        <f>IF(HLOOKUP($B18,$W$6:$AD$35,11,FALSE)=0,"",HLOOKUP($B18,$W$6:$AD$35,11,FALSE))</f>
        <v/>
      </c>
      <c r="I19" s="15" t="str">
        <f>IF(HLOOKUP($B18,$W$6:$AD$35,16,FALSE)=0,"",HLOOKUP($B18,$W$6:$AD$35,16,FALSE))</f>
        <v/>
      </c>
      <c r="J19" s="15" t="str">
        <f>IF(HLOOKUP($B18,$W$6:$AD$35,18,FALSE)=0,"",HLOOKUP($B18,$W$6:$AD$35,18,FALSE))</f>
        <v/>
      </c>
      <c r="K19" s="15" t="str">
        <f>IF(HLOOKUP($B18,$W$6:$AD$35,20,FALSE)=0,"",HLOOKUP($B18,$W$6:$AD$35,20,FALSE))</f>
        <v/>
      </c>
      <c r="L19" s="15" t="str">
        <f>IF(HLOOKUP($B18,$W$6:$AD$35,22,FALSE)=0,"",HLOOKUP($B18,$W$6:$AD$35,22,FALSE))</f>
        <v/>
      </c>
      <c r="M19" s="15" t="str">
        <f>IF(HLOOKUP($B18,$W$6:$AD$35,24,FALSE)=0,"",HLOOKUP($B18,$W$6:$AD$35,24,FALSE))</f>
        <v/>
      </c>
      <c r="N19" s="15" t="str">
        <f>IF(HLOOKUP($B18,$W$6:$AD$35,26,FALSE)=0,"",HLOOKUP($B18,$W$6:$AD$35,26,FALSE))</f>
        <v/>
      </c>
      <c r="O19" s="16" t="str">
        <f>IF(HLOOKUP($B18,$W$6:$AD$35,28,FALSE)=0,"",HLOOKUP($B18,$W$6:$AD$35,28,FALSE))</f>
        <v/>
      </c>
      <c r="P19" s="508"/>
      <c r="Q19" s="506"/>
      <c r="V19" s="4">
        <v>9</v>
      </c>
      <c r="W19" s="26"/>
      <c r="X19" s="26"/>
      <c r="Y19" s="26"/>
      <c r="Z19" s="26"/>
      <c r="AA19" s="26"/>
      <c r="AB19" s="26"/>
      <c r="AC19" s="26"/>
      <c r="AD19" s="26"/>
    </row>
    <row r="20" spans="1:30" ht="13.5" customHeight="1">
      <c r="A20" s="495"/>
      <c r="B20" s="489"/>
      <c r="C20" s="486"/>
      <c r="D20" s="483"/>
      <c r="E20" s="483"/>
      <c r="F20" s="497"/>
      <c r="G20" s="14" t="str">
        <f>IF(HLOOKUP($B18,$W$6:$AD$35,7,FALSE)=0,"",HLOOKUP($B18,$W$6:$AD$35,7,FALSE))</f>
        <v/>
      </c>
      <c r="H20" s="15" t="str">
        <f>IF(HLOOKUP($B18,$W$6:$AD$35,12,FALSE)=0,"",HLOOKUP($B18,$W$6:$AD$35,12,FALSE))</f>
        <v/>
      </c>
      <c r="I20" s="15" t="str">
        <f>IF(HLOOKUP($B18,$W$6:$AD$35,17,FALSE)=0,"",HLOOKUP($B18,$W$6:$AD$35,17,FALSE))</f>
        <v/>
      </c>
      <c r="J20" s="15" t="str">
        <f>IF(HLOOKUP($B18,$W$6:$AD$35,19,FALSE)=0,"",HLOOKUP($B18,$W$6:$AD$35,19,FALSE))</f>
        <v/>
      </c>
      <c r="K20" s="15" t="str">
        <f>IF(HLOOKUP($B18,$W$6:$AD$35,21,FALSE)=0,"",HLOOKUP($B18,$W$6:$AD$35,21,FALSE))</f>
        <v/>
      </c>
      <c r="L20" s="15" t="str">
        <f>IF(HLOOKUP($B18,$W$6:$AD$35,23,FALSE)=0,"",HLOOKUP($B18,$W$6:$AD$35,23,FALSE))</f>
        <v/>
      </c>
      <c r="M20" s="15" t="str">
        <f>IF(HLOOKUP($B18,$W$6:$AD$35,25,FALSE)=0,"",HLOOKUP($B18,$W$6:$AD$35,25,FALSE))</f>
        <v/>
      </c>
      <c r="N20" s="15" t="str">
        <f>IF(HLOOKUP($B18,$W$6:$AD$35,27,FALSE)=0,"",HLOOKUP($B18,$W$6:$AD$35,27,FALSE))</f>
        <v/>
      </c>
      <c r="O20" s="16" t="str">
        <f>IF(HLOOKUP($B18,$W$6:$AD$35,29,FALSE)=0,"",HLOOKUP($B18,$W$6:$AD$35,29,FALSE))</f>
        <v/>
      </c>
      <c r="P20" s="508"/>
      <c r="Q20" s="506"/>
      <c r="V20" s="4">
        <v>10</v>
      </c>
      <c r="W20" s="26"/>
      <c r="X20" s="26"/>
      <c r="Y20" s="26"/>
      <c r="Z20" s="26"/>
      <c r="AA20" s="26"/>
      <c r="AB20" s="26"/>
      <c r="AC20" s="26"/>
      <c r="AD20" s="26"/>
    </row>
    <row r="21" spans="1:30" ht="13.5" customHeight="1">
      <c r="A21" s="495"/>
      <c r="B21" s="489"/>
      <c r="C21" s="486"/>
      <c r="D21" s="483"/>
      <c r="E21" s="483"/>
      <c r="F21" s="497"/>
      <c r="G21" s="14" t="str">
        <f>IF(HLOOKUP($B18,$W$6:$AD$35,8,FALSE)=0,"",HLOOKUP($B18,$W$6:$AD$35,8,FALSE))</f>
        <v/>
      </c>
      <c r="H21" s="15" t="str">
        <f>IF(HLOOKUP($B18,$W$6:$AD$35,13,FALSE)=0,"",HLOOKUP($B18,$W$6:$AD$35,13,FALSE))</f>
        <v/>
      </c>
      <c r="I21" s="18"/>
      <c r="J21" s="18"/>
      <c r="K21" s="18"/>
      <c r="L21" s="18"/>
      <c r="M21" s="18"/>
      <c r="N21" s="18"/>
      <c r="O21" s="19"/>
      <c r="P21" s="508"/>
      <c r="Q21" s="506"/>
      <c r="V21" s="4">
        <v>11</v>
      </c>
      <c r="W21" s="26"/>
      <c r="X21" s="26"/>
      <c r="Y21" s="26"/>
      <c r="Z21" s="26"/>
      <c r="AA21" s="26"/>
      <c r="AB21" s="26"/>
      <c r="AC21" s="26"/>
      <c r="AD21" s="26"/>
    </row>
    <row r="22" spans="1:30" ht="13.5" customHeight="1">
      <c r="A22" s="495"/>
      <c r="B22" s="489"/>
      <c r="C22" s="486"/>
      <c r="D22" s="483"/>
      <c r="E22" s="483"/>
      <c r="F22" s="497"/>
      <c r="G22" s="14" t="str">
        <f>IF(HLOOKUP($B18,$W$6:$AD$35,9,FALSE)=0,"",HLOOKUP($B18,$W$6:$AD$35,9,FALSE))</f>
        <v/>
      </c>
      <c r="H22" s="15" t="str">
        <f>IF(HLOOKUP($B18,$W$6:$AD$35,14,FALSE)=0,"",HLOOKUP($B18,$W$6:$AD$35,14,FALSE))</f>
        <v/>
      </c>
      <c r="I22" s="20"/>
      <c r="J22" s="20"/>
      <c r="K22" s="20"/>
      <c r="L22" s="20"/>
      <c r="M22" s="20"/>
      <c r="N22" s="20"/>
      <c r="O22" s="21"/>
      <c r="P22" s="508"/>
      <c r="Q22" s="506"/>
      <c r="V22" s="4">
        <v>12</v>
      </c>
      <c r="W22" s="26"/>
      <c r="X22" s="26"/>
      <c r="Y22" s="26"/>
      <c r="Z22" s="26"/>
      <c r="AA22" s="26"/>
      <c r="AB22" s="26"/>
      <c r="AC22" s="26"/>
      <c r="AD22" s="26"/>
    </row>
    <row r="23" spans="1:30" ht="13.5" customHeight="1" thickBot="1">
      <c r="A23" s="495"/>
      <c r="B23" s="490"/>
      <c r="C23" s="487"/>
      <c r="D23" s="484"/>
      <c r="E23" s="484"/>
      <c r="F23" s="498"/>
      <c r="G23" s="22" t="str">
        <f>IF(HLOOKUP($B18,$W$6:$AD$35,10,FALSE)=0,"",HLOOKUP($B18,$W$6:$AD$35,10,FALSE))</f>
        <v/>
      </c>
      <c r="H23" s="23" t="str">
        <f>IF(HLOOKUP($B18,$W$6:$AD$35,15,FALSE)=0,"",HLOOKUP($B18,$W$6:$AD$35,15,FALSE))</f>
        <v/>
      </c>
      <c r="I23" s="24"/>
      <c r="J23" s="24"/>
      <c r="K23" s="24"/>
      <c r="L23" s="24"/>
      <c r="M23" s="24"/>
      <c r="N23" s="24"/>
      <c r="O23" s="25"/>
      <c r="P23" s="509"/>
      <c r="Q23" s="501"/>
      <c r="V23" s="4">
        <v>13</v>
      </c>
      <c r="W23" s="26"/>
      <c r="X23" s="26"/>
      <c r="Y23" s="26"/>
      <c r="Z23" s="26"/>
      <c r="AA23" s="26"/>
      <c r="AB23" s="26"/>
      <c r="AC23" s="26"/>
      <c r="AD23" s="26"/>
    </row>
    <row r="24" spans="1:30" ht="13.5" customHeight="1" thickBot="1">
      <c r="A24" s="495">
        <v>4</v>
      </c>
      <c r="B24" s="488">
        <f>SMALL($W$6:$AD$6,A24)</f>
        <v>1.0000008363006325</v>
      </c>
      <c r="C24" s="485" t="str">
        <f>HLOOKUP($B24,$W$6:$AD$35,2,FALSE)</f>
        <v>D</v>
      </c>
      <c r="D24" s="482">
        <f>HLOOKUP($B24,$W$6:$AD$35,3,FALSE)</f>
        <v>0</v>
      </c>
      <c r="E24" s="482">
        <f>HLOOKUP($B24,$W$6:$AD$35,4,FALSE)</f>
        <v>0</v>
      </c>
      <c r="F24" s="496">
        <f>HLOOKUP($B24,$W$6:$AD$35,5,FALSE)</f>
        <v>0</v>
      </c>
      <c r="G24" s="10" t="str">
        <f t="shared" ref="G24:O24" si="4">IF(G25="","",SUM(G25:G29))</f>
        <v/>
      </c>
      <c r="H24" s="11" t="str">
        <f t="shared" si="4"/>
        <v/>
      </c>
      <c r="I24" s="11" t="str">
        <f t="shared" si="4"/>
        <v/>
      </c>
      <c r="J24" s="11" t="str">
        <f t="shared" si="4"/>
        <v/>
      </c>
      <c r="K24" s="11" t="str">
        <f t="shared" si="4"/>
        <v/>
      </c>
      <c r="L24" s="11" t="str">
        <f t="shared" si="4"/>
        <v/>
      </c>
      <c r="M24" s="11" t="str">
        <f t="shared" si="4"/>
        <v/>
      </c>
      <c r="N24" s="11" t="str">
        <f t="shared" si="4"/>
        <v/>
      </c>
      <c r="O24" s="12" t="str">
        <f t="shared" si="4"/>
        <v/>
      </c>
      <c r="P24" s="507">
        <f>SUM(G24:O24)</f>
        <v>0</v>
      </c>
      <c r="Q24" s="505">
        <f>P18-P24</f>
        <v>0</v>
      </c>
      <c r="V24" s="4">
        <v>14</v>
      </c>
      <c r="W24" s="26"/>
      <c r="X24" s="26"/>
      <c r="Y24" s="26"/>
      <c r="Z24" s="26"/>
      <c r="AA24" s="26"/>
      <c r="AB24" s="26"/>
      <c r="AC24" s="26"/>
      <c r="AD24" s="26"/>
    </row>
    <row r="25" spans="1:30" ht="13.5" customHeight="1">
      <c r="A25" s="495"/>
      <c r="B25" s="489"/>
      <c r="C25" s="486"/>
      <c r="D25" s="483"/>
      <c r="E25" s="483"/>
      <c r="F25" s="497"/>
      <c r="G25" s="14" t="str">
        <f>IF(HLOOKUP($B24,$W$6:$AD$35,6,FALSE)=0,"",HLOOKUP($B24,$W$6:$AD$35,6,FALSE))</f>
        <v/>
      </c>
      <c r="H25" s="15" t="str">
        <f>IF(HLOOKUP($B24,$W$6:$AD$35,11,FALSE)=0,"",HLOOKUP($B24,$W$6:$AD$35,11,FALSE))</f>
        <v/>
      </c>
      <c r="I25" s="15" t="str">
        <f>IF(HLOOKUP($B24,$W$6:$AD$35,16,FALSE)=0,"",HLOOKUP($B24,$W$6:$AD$35,16,FALSE))</f>
        <v/>
      </c>
      <c r="J25" s="15" t="str">
        <f>IF(HLOOKUP($B24,$W$6:$AD$35,18,FALSE)=0,"",HLOOKUP($B24,$W$6:$AD$35,18,FALSE))</f>
        <v/>
      </c>
      <c r="K25" s="15" t="str">
        <f>IF(HLOOKUP($B24,$W$6:$AD$35,20,FALSE)=0,"",HLOOKUP($B24,$W$6:$AD$35,20,FALSE))</f>
        <v/>
      </c>
      <c r="L25" s="15" t="str">
        <f>IF(HLOOKUP($B24,$W$6:$AD$35,22,FALSE)=0,"",HLOOKUP($B24,$W$6:$AD$35,22,FALSE))</f>
        <v/>
      </c>
      <c r="M25" s="15" t="str">
        <f>IF(HLOOKUP($B24,$W$6:$AD$35,24,FALSE)=0,"",HLOOKUP($B24,$W$6:$AD$35,24,FALSE))</f>
        <v/>
      </c>
      <c r="N25" s="15" t="str">
        <f>IF(HLOOKUP($B24,$W$6:$AD$35,26,FALSE)=0,"",HLOOKUP($B24,$W$6:$AD$35,26,FALSE))</f>
        <v/>
      </c>
      <c r="O25" s="16" t="str">
        <f>IF(HLOOKUP($B24,$W$6:$AD$35,28,FALSE)=0,"",HLOOKUP($B24,$W$6:$AD$35,28,FALSE))</f>
        <v/>
      </c>
      <c r="P25" s="508"/>
      <c r="Q25" s="506"/>
      <c r="V25" s="4">
        <v>15</v>
      </c>
      <c r="W25" s="26"/>
      <c r="X25" s="26"/>
      <c r="Y25" s="26"/>
      <c r="Z25" s="26"/>
      <c r="AA25" s="26"/>
      <c r="AB25" s="26"/>
      <c r="AC25" s="26"/>
      <c r="AD25" s="26"/>
    </row>
    <row r="26" spans="1:30" ht="13.5" customHeight="1">
      <c r="A26" s="495"/>
      <c r="B26" s="489"/>
      <c r="C26" s="486"/>
      <c r="D26" s="483"/>
      <c r="E26" s="483"/>
      <c r="F26" s="497"/>
      <c r="G26" s="14" t="str">
        <f>IF(HLOOKUP($B24,$W$6:$AD$35,7,FALSE)=0,"",HLOOKUP($B24,$W$6:$AD$35,7,FALSE))</f>
        <v/>
      </c>
      <c r="H26" s="15" t="str">
        <f>IF(HLOOKUP($B24,$W$6:$AD$35,12,FALSE)=0,"",HLOOKUP($B24,$W$6:$AD$35,12,FALSE))</f>
        <v/>
      </c>
      <c r="I26" s="15" t="str">
        <f>IF(HLOOKUP($B24,$W$6:$AD$35,17,FALSE)=0,"",HLOOKUP($B24,$W$6:$AD$35,17,FALSE))</f>
        <v/>
      </c>
      <c r="J26" s="15" t="str">
        <f>IF(HLOOKUP($B24,$W$6:$AD$35,19,FALSE)=0,"",HLOOKUP($B24,$W$6:$AD$35,19,FALSE))</f>
        <v/>
      </c>
      <c r="K26" s="15" t="str">
        <f>IF(HLOOKUP($B24,$W$6:$AD$35,21,FALSE)=0,"",HLOOKUP($B24,$W$6:$AD$35,21,FALSE))</f>
        <v/>
      </c>
      <c r="L26" s="15" t="str">
        <f>IF(HLOOKUP($B24,$W$6:$AD$35,23,FALSE)=0,"",HLOOKUP($B24,$W$6:$AD$35,23,FALSE))</f>
        <v/>
      </c>
      <c r="M26" s="15" t="str">
        <f>IF(HLOOKUP($B24,$W$6:$AD$35,25,FALSE)=0,"",HLOOKUP($B24,$W$6:$AD$35,25,FALSE))</f>
        <v/>
      </c>
      <c r="N26" s="15" t="str">
        <f>IF(HLOOKUP($B24,$W$6:$AD$35,27,FALSE)=0,"",HLOOKUP($B24,$W$6:$AD$35,27,FALSE))</f>
        <v/>
      </c>
      <c r="O26" s="16" t="str">
        <f>IF(HLOOKUP($B24,$W$6:$AD$35,29,FALSE)=0,"",HLOOKUP($B24,$W$6:$AD$35,29,FALSE))</f>
        <v/>
      </c>
      <c r="P26" s="508"/>
      <c r="Q26" s="506"/>
      <c r="V26" s="4">
        <v>16</v>
      </c>
      <c r="W26" s="26"/>
      <c r="X26" s="26"/>
      <c r="Y26" s="26"/>
      <c r="Z26" s="26"/>
      <c r="AA26" s="26"/>
      <c r="AB26" s="26"/>
      <c r="AC26" s="26"/>
      <c r="AD26" s="26"/>
    </row>
    <row r="27" spans="1:30" ht="13.5" customHeight="1">
      <c r="A27" s="495"/>
      <c r="B27" s="489"/>
      <c r="C27" s="486"/>
      <c r="D27" s="483"/>
      <c r="E27" s="483"/>
      <c r="F27" s="497"/>
      <c r="G27" s="14" t="str">
        <f>IF(HLOOKUP($B24,$W$6:$AD$35,8,FALSE)=0,"",HLOOKUP($B24,$W$6:$AD$35,8,FALSE))</f>
        <v/>
      </c>
      <c r="H27" s="15" t="str">
        <f>IF(HLOOKUP($B24,$W$6:$AD$35,13,FALSE)=0,"",HLOOKUP($B24,$W$6:$AD$35,13,FALSE))</f>
        <v/>
      </c>
      <c r="I27" s="18"/>
      <c r="J27" s="18"/>
      <c r="K27" s="18"/>
      <c r="L27" s="18"/>
      <c r="M27" s="18"/>
      <c r="N27" s="18"/>
      <c r="O27" s="19"/>
      <c r="P27" s="508"/>
      <c r="Q27" s="506"/>
      <c r="V27" s="4">
        <v>17</v>
      </c>
      <c r="W27" s="26"/>
      <c r="X27" s="26"/>
      <c r="Y27" s="26"/>
      <c r="Z27" s="26"/>
      <c r="AA27" s="26"/>
      <c r="AB27" s="26"/>
      <c r="AC27" s="26"/>
      <c r="AD27" s="26"/>
    </row>
    <row r="28" spans="1:30" ht="13.5" customHeight="1">
      <c r="A28" s="495"/>
      <c r="B28" s="489"/>
      <c r="C28" s="486"/>
      <c r="D28" s="483"/>
      <c r="E28" s="483"/>
      <c r="F28" s="497"/>
      <c r="G28" s="14" t="str">
        <f>IF(HLOOKUP($B24,$W$6:$AD$35,9,FALSE)=0,"",HLOOKUP($B24,$W$6:$AD$35,9,FALSE))</f>
        <v/>
      </c>
      <c r="H28" s="15" t="str">
        <f>IF(HLOOKUP($B24,$W$6:$AD$35,14,FALSE)=0,"",HLOOKUP($B24,$W$6:$AD$35,14,FALSE))</f>
        <v/>
      </c>
      <c r="I28" s="20"/>
      <c r="J28" s="20"/>
      <c r="K28" s="20"/>
      <c r="L28" s="20"/>
      <c r="M28" s="20"/>
      <c r="N28" s="20"/>
      <c r="O28" s="21"/>
      <c r="P28" s="508"/>
      <c r="Q28" s="506"/>
      <c r="V28" s="4">
        <v>18</v>
      </c>
      <c r="W28" s="26"/>
      <c r="X28" s="26"/>
      <c r="Y28" s="26"/>
      <c r="Z28" s="26"/>
      <c r="AA28" s="26"/>
      <c r="AB28" s="26"/>
      <c r="AC28" s="26"/>
      <c r="AD28" s="26"/>
    </row>
    <row r="29" spans="1:30" ht="13.5" customHeight="1" thickBot="1">
      <c r="A29" s="495"/>
      <c r="B29" s="490"/>
      <c r="C29" s="487"/>
      <c r="D29" s="484"/>
      <c r="E29" s="484"/>
      <c r="F29" s="498"/>
      <c r="G29" s="22" t="str">
        <f>IF(HLOOKUP($B24,$W$6:$AD$35,10,FALSE)=0,"",HLOOKUP($B24,$W$6:$AD$35,10,FALSE))</f>
        <v/>
      </c>
      <c r="H29" s="23" t="str">
        <f>IF(HLOOKUP($B24,$W$6:$AD$35,15,FALSE)=0,"",HLOOKUP($B24,$W$6:$AD$35,15,FALSE))</f>
        <v/>
      </c>
      <c r="I29" s="24"/>
      <c r="J29" s="24"/>
      <c r="K29" s="24"/>
      <c r="L29" s="24"/>
      <c r="M29" s="24"/>
      <c r="N29" s="24"/>
      <c r="O29" s="25"/>
      <c r="P29" s="509"/>
      <c r="Q29" s="501"/>
      <c r="V29" s="4">
        <v>19</v>
      </c>
      <c r="W29" s="26"/>
      <c r="X29" s="26"/>
      <c r="Y29" s="26"/>
      <c r="Z29" s="26"/>
      <c r="AA29" s="26"/>
      <c r="AB29" s="26"/>
      <c r="AC29" s="26"/>
      <c r="AD29" s="26"/>
    </row>
    <row r="30" spans="1:30" ht="13.5" customHeight="1" thickBot="1">
      <c r="A30" s="495">
        <v>5</v>
      </c>
      <c r="B30" s="488">
        <f>SMALL($W$6:$AD$6,A30)</f>
        <v>1.0000010453757906</v>
      </c>
      <c r="C30" s="485" t="str">
        <f>HLOOKUP($B30,$W$6:$AD$35,2,FALSE)</f>
        <v>E</v>
      </c>
      <c r="D30" s="482">
        <f>HLOOKUP($B30,$W$6:$AD$35,3,FALSE)</f>
        <v>0</v>
      </c>
      <c r="E30" s="482">
        <f>HLOOKUP($B30,$W$6:$AD$35,4,FALSE)</f>
        <v>0</v>
      </c>
      <c r="F30" s="496">
        <f>HLOOKUP($B30,$W$6:$AD$35,5,FALSE)</f>
        <v>0</v>
      </c>
      <c r="G30" s="10" t="str">
        <f t="shared" ref="G30:O30" si="5">IF(G31="","",SUM(G31:G35))</f>
        <v/>
      </c>
      <c r="H30" s="11" t="str">
        <f t="shared" si="5"/>
        <v/>
      </c>
      <c r="I30" s="11" t="str">
        <f t="shared" si="5"/>
        <v/>
      </c>
      <c r="J30" s="11" t="str">
        <f t="shared" si="5"/>
        <v/>
      </c>
      <c r="K30" s="11" t="str">
        <f t="shared" si="5"/>
        <v/>
      </c>
      <c r="L30" s="11" t="str">
        <f t="shared" si="5"/>
        <v/>
      </c>
      <c r="M30" s="11" t="str">
        <f t="shared" si="5"/>
        <v/>
      </c>
      <c r="N30" s="11" t="str">
        <f t="shared" si="5"/>
        <v/>
      </c>
      <c r="O30" s="12" t="str">
        <f t="shared" si="5"/>
        <v/>
      </c>
      <c r="P30" s="507">
        <f>SUM(G30:O30)</f>
        <v>0</v>
      </c>
      <c r="Q30" s="505">
        <f>P24-P30</f>
        <v>0</v>
      </c>
      <c r="V30" s="4">
        <v>20</v>
      </c>
      <c r="W30" s="26"/>
      <c r="X30" s="26"/>
      <c r="Y30" s="26"/>
      <c r="Z30" s="26"/>
      <c r="AA30" s="26"/>
      <c r="AB30" s="26"/>
      <c r="AC30" s="26"/>
      <c r="AD30" s="26"/>
    </row>
    <row r="31" spans="1:30" ht="13.5" customHeight="1">
      <c r="A31" s="495"/>
      <c r="B31" s="489"/>
      <c r="C31" s="486"/>
      <c r="D31" s="483"/>
      <c r="E31" s="483"/>
      <c r="F31" s="497"/>
      <c r="G31" s="14" t="str">
        <f>IF(HLOOKUP($B30,$W$6:$AD$35,6,FALSE)=0,"",HLOOKUP($B30,$W$6:$AD$35,6,FALSE))</f>
        <v/>
      </c>
      <c r="H31" s="15" t="str">
        <f>IF(HLOOKUP($B30,$W$6:$AD$35,11,FALSE)=0,"",HLOOKUP($B30,$W$6:$AD$35,11,FALSE))</f>
        <v/>
      </c>
      <c r="I31" s="15" t="str">
        <f>IF(HLOOKUP($B30,$W$6:$AD$35,16,FALSE)=0,"",HLOOKUP($B30,$W$6:$AD$35,16,FALSE))</f>
        <v/>
      </c>
      <c r="J31" s="15" t="str">
        <f>IF(HLOOKUP($B30,$W$6:$AD$35,18,FALSE)=0,"",HLOOKUP($B30,$W$6:$AD$35,18,FALSE))</f>
        <v/>
      </c>
      <c r="K31" s="15" t="str">
        <f>IF(HLOOKUP($B30,$W$6:$AD$35,20,FALSE)=0,"",HLOOKUP($B30,$W$6:$AD$35,20,FALSE))</f>
        <v/>
      </c>
      <c r="L31" s="15" t="str">
        <f>IF(HLOOKUP($B30,$W$6:$AD$35,22,FALSE)=0,"",HLOOKUP($B30,$W$6:$AD$35,22,FALSE))</f>
        <v/>
      </c>
      <c r="M31" s="15" t="str">
        <f>IF(HLOOKUP($B30,$W$6:$AD$35,24,FALSE)=0,"",HLOOKUP($B30,$W$6:$AD$35,24,FALSE))</f>
        <v/>
      </c>
      <c r="N31" s="15" t="str">
        <f>IF(HLOOKUP($B30,$W$6:$AD$35,26,FALSE)=0,"",HLOOKUP($B30,$W$6:$AD$35,26,FALSE))</f>
        <v/>
      </c>
      <c r="O31" s="16" t="str">
        <f>IF(HLOOKUP($B30,$W$6:$AD$35,28,FALSE)=0,"",HLOOKUP($B30,$W$6:$AD$35,28,FALSE))</f>
        <v/>
      </c>
      <c r="P31" s="508"/>
      <c r="Q31" s="506"/>
      <c r="V31" s="4">
        <v>21</v>
      </c>
      <c r="W31" s="26"/>
      <c r="X31" s="26"/>
      <c r="Y31" s="26"/>
      <c r="Z31" s="26"/>
      <c r="AA31" s="26"/>
      <c r="AB31" s="26"/>
      <c r="AC31" s="26"/>
      <c r="AD31" s="26"/>
    </row>
    <row r="32" spans="1:30" ht="13.5" customHeight="1">
      <c r="A32" s="495"/>
      <c r="B32" s="489"/>
      <c r="C32" s="486"/>
      <c r="D32" s="483"/>
      <c r="E32" s="483"/>
      <c r="F32" s="497"/>
      <c r="G32" s="14" t="str">
        <f>IF(HLOOKUP($B30,$W$6:$AD$35,7,FALSE)=0,"",HLOOKUP($B30,$W$6:$AD$35,7,FALSE))</f>
        <v/>
      </c>
      <c r="H32" s="15" t="str">
        <f>IF(HLOOKUP($B30,$W$6:$AD$35,12,FALSE)=0,"",HLOOKUP($B30,$W$6:$AD$35,12,FALSE))</f>
        <v/>
      </c>
      <c r="I32" s="15" t="str">
        <f>IF(HLOOKUP($B30,$W$6:$AD$35,17,FALSE)=0,"",HLOOKUP($B30,$W$6:$AD$35,17,FALSE))</f>
        <v/>
      </c>
      <c r="J32" s="15" t="str">
        <f>IF(HLOOKUP($B30,$W$6:$AD$35,19,FALSE)=0,"",HLOOKUP($B30,$W$6:$AD$35,19,FALSE))</f>
        <v/>
      </c>
      <c r="K32" s="15" t="str">
        <f>IF(HLOOKUP($B30,$W$6:$AD$35,21,FALSE)=0,"",HLOOKUP($B30,$W$6:$AD$35,21,FALSE))</f>
        <v/>
      </c>
      <c r="L32" s="15" t="str">
        <f>IF(HLOOKUP($B30,$W$6:$AD$35,23,FALSE)=0,"",HLOOKUP($B30,$W$6:$AD$35,23,FALSE))</f>
        <v/>
      </c>
      <c r="M32" s="15" t="str">
        <f>IF(HLOOKUP($B30,$W$6:$AD$35,25,FALSE)=0,"",HLOOKUP($B30,$W$6:$AD$35,25,FALSE))</f>
        <v/>
      </c>
      <c r="N32" s="15" t="str">
        <f>IF(HLOOKUP($B30,$W$6:$AD$35,27,FALSE)=0,"",HLOOKUP($B30,$W$6:$AD$35,27,FALSE))</f>
        <v/>
      </c>
      <c r="O32" s="16" t="str">
        <f>IF(HLOOKUP($B30,$W$6:$AD$35,29,FALSE)=0,"",HLOOKUP($B30,$W$6:$AD$35,29,FALSE))</f>
        <v/>
      </c>
      <c r="P32" s="508"/>
      <c r="Q32" s="506"/>
      <c r="V32" s="4">
        <v>22</v>
      </c>
      <c r="W32" s="26"/>
      <c r="X32" s="26"/>
      <c r="Y32" s="26"/>
      <c r="Z32" s="26"/>
      <c r="AA32" s="26"/>
      <c r="AB32" s="26"/>
      <c r="AC32" s="26"/>
      <c r="AD32" s="26"/>
    </row>
    <row r="33" spans="1:30" ht="13.5" customHeight="1">
      <c r="A33" s="495"/>
      <c r="B33" s="489"/>
      <c r="C33" s="486"/>
      <c r="D33" s="483"/>
      <c r="E33" s="483"/>
      <c r="F33" s="497"/>
      <c r="G33" s="14" t="str">
        <f>IF(HLOOKUP($B30,$W$6:$AD$35,8,FALSE)=0,"",HLOOKUP($B30,$W$6:$AD$35,8,FALSE))</f>
        <v/>
      </c>
      <c r="H33" s="15" t="str">
        <f>IF(HLOOKUP($B30,$W$6:$AD$35,13,FALSE)=0,"",HLOOKUP($B30,$W$6:$AD$35,13,FALSE))</f>
        <v/>
      </c>
      <c r="I33" s="18"/>
      <c r="J33" s="18"/>
      <c r="K33" s="18"/>
      <c r="L33" s="18"/>
      <c r="M33" s="18"/>
      <c r="N33" s="18"/>
      <c r="O33" s="19"/>
      <c r="P33" s="508"/>
      <c r="Q33" s="506"/>
      <c r="V33" s="4">
        <v>23</v>
      </c>
      <c r="W33" s="26"/>
      <c r="X33" s="26"/>
      <c r="Y33" s="26"/>
      <c r="Z33" s="26"/>
      <c r="AA33" s="26"/>
      <c r="AB33" s="26"/>
      <c r="AC33" s="26"/>
      <c r="AD33" s="26"/>
    </row>
    <row r="34" spans="1:30" ht="13.5" customHeight="1">
      <c r="A34" s="495"/>
      <c r="B34" s="489"/>
      <c r="C34" s="486"/>
      <c r="D34" s="483"/>
      <c r="E34" s="483"/>
      <c r="F34" s="497"/>
      <c r="G34" s="14" t="str">
        <f>IF(HLOOKUP($B30,$W$6:$AD$35,9,FALSE)=0,"",HLOOKUP($B30,$W$6:$AD$35,9,FALSE))</f>
        <v/>
      </c>
      <c r="H34" s="15" t="str">
        <f>IF(HLOOKUP($B30,$W$6:$AD$35,14,FALSE)=0,"",HLOOKUP($B30,$W$6:$AD$35,14,FALSE))</f>
        <v/>
      </c>
      <c r="I34" s="20"/>
      <c r="J34" s="20"/>
      <c r="K34" s="20"/>
      <c r="L34" s="20"/>
      <c r="M34" s="20"/>
      <c r="N34" s="20"/>
      <c r="O34" s="21"/>
      <c r="P34" s="508"/>
      <c r="Q34" s="506"/>
      <c r="V34" s="4">
        <v>24</v>
      </c>
      <c r="W34" s="26"/>
      <c r="X34" s="26"/>
      <c r="Y34" s="26"/>
      <c r="Z34" s="26"/>
      <c r="AA34" s="26"/>
      <c r="AB34" s="26"/>
      <c r="AC34" s="26"/>
      <c r="AD34" s="26"/>
    </row>
    <row r="35" spans="1:30" ht="13.5" customHeight="1" thickBot="1">
      <c r="A35" s="495"/>
      <c r="B35" s="490"/>
      <c r="C35" s="487"/>
      <c r="D35" s="484"/>
      <c r="E35" s="484"/>
      <c r="F35" s="498"/>
      <c r="G35" s="22" t="str">
        <f>IF(HLOOKUP($B30,$W$6:$AD$35,10,FALSE)=0,"",HLOOKUP($B30,$W$6:$AD$35,10,FALSE))</f>
        <v/>
      </c>
      <c r="H35" s="23" t="str">
        <f>IF(HLOOKUP($B30,$W$6:$AD$35,15,FALSE)=0,"",HLOOKUP($B30,$W$6:$AD$35,15,FALSE))</f>
        <v/>
      </c>
      <c r="I35" s="24"/>
      <c r="J35" s="24"/>
      <c r="K35" s="24"/>
      <c r="L35" s="24"/>
      <c r="M35" s="24"/>
      <c r="N35" s="24"/>
      <c r="O35" s="25"/>
      <c r="P35" s="509"/>
      <c r="Q35" s="501"/>
      <c r="V35" s="4" t="s">
        <v>8</v>
      </c>
      <c r="W35" s="27">
        <f>SUM(W11:W34)</f>
        <v>0</v>
      </c>
      <c r="X35" s="27">
        <f t="shared" ref="X35:AD35" si="6">SUM(X11:X34)</f>
        <v>0</v>
      </c>
      <c r="Y35" s="27">
        <f t="shared" si="6"/>
        <v>0</v>
      </c>
      <c r="Z35" s="27">
        <f t="shared" si="6"/>
        <v>0</v>
      </c>
      <c r="AA35" s="27">
        <f t="shared" si="6"/>
        <v>0</v>
      </c>
      <c r="AB35" s="27">
        <f t="shared" si="6"/>
        <v>0</v>
      </c>
      <c r="AC35" s="27">
        <f t="shared" si="6"/>
        <v>0</v>
      </c>
      <c r="AD35" s="27">
        <f t="shared" si="6"/>
        <v>0</v>
      </c>
    </row>
    <row r="36" spans="1:30" ht="13.5" customHeight="1" thickBot="1">
      <c r="A36" s="495">
        <v>6</v>
      </c>
      <c r="B36" s="488">
        <f>SMALL($W$6:$AD$6,A36)</f>
        <v>1.0000012544509487</v>
      </c>
      <c r="C36" s="485" t="str">
        <f>HLOOKUP($B36,$W$6:$AD$35,2,FALSE)</f>
        <v>F</v>
      </c>
      <c r="D36" s="482">
        <f>HLOOKUP($B36,$W$6:$AD$35,3,FALSE)</f>
        <v>0</v>
      </c>
      <c r="E36" s="482">
        <f>HLOOKUP($B36,$W$6:$AD$35,4,FALSE)</f>
        <v>0</v>
      </c>
      <c r="F36" s="496">
        <f>HLOOKUP($B36,$W$6:$AD$35,5,FALSE)</f>
        <v>0</v>
      </c>
      <c r="G36" s="10" t="str">
        <f t="shared" ref="G36:O36" si="7">IF(G37="","",SUM(G37:G41))</f>
        <v/>
      </c>
      <c r="H36" s="11" t="str">
        <f t="shared" si="7"/>
        <v/>
      </c>
      <c r="I36" s="11" t="str">
        <f t="shared" si="7"/>
        <v/>
      </c>
      <c r="J36" s="11" t="str">
        <f t="shared" si="7"/>
        <v/>
      </c>
      <c r="K36" s="11" t="str">
        <f t="shared" si="7"/>
        <v/>
      </c>
      <c r="L36" s="11" t="str">
        <f t="shared" si="7"/>
        <v/>
      </c>
      <c r="M36" s="11" t="str">
        <f t="shared" si="7"/>
        <v/>
      </c>
      <c r="N36" s="11" t="str">
        <f t="shared" si="7"/>
        <v/>
      </c>
      <c r="O36" s="12" t="str">
        <f t="shared" si="7"/>
        <v/>
      </c>
      <c r="P36" s="507">
        <f>SUM(G36:O36)</f>
        <v>0</v>
      </c>
      <c r="Q36" s="505">
        <f>P30-P36</f>
        <v>0</v>
      </c>
    </row>
    <row r="37" spans="1:30" ht="13.5" customHeight="1">
      <c r="A37" s="495"/>
      <c r="B37" s="489"/>
      <c r="C37" s="486"/>
      <c r="D37" s="483"/>
      <c r="E37" s="483"/>
      <c r="F37" s="497"/>
      <c r="G37" s="14" t="str">
        <f>IF(HLOOKUP($B36,$W$6:$AD$35,6,FALSE)=0,"",HLOOKUP($B36,$W$6:$AD$35,6,FALSE))</f>
        <v/>
      </c>
      <c r="H37" s="15" t="str">
        <f>IF(HLOOKUP($B36,$W$6:$AD$35,11,FALSE)=0,"",HLOOKUP($B36,$W$6:$AD$35,11,FALSE))</f>
        <v/>
      </c>
      <c r="I37" s="15" t="str">
        <f>IF(HLOOKUP($B36,$W$6:$AD$35,16,FALSE)=0,"",HLOOKUP($B36,$W$6:$AD$35,16,FALSE))</f>
        <v/>
      </c>
      <c r="J37" s="15" t="str">
        <f>IF(HLOOKUP($B36,$W$6:$AD$35,18,FALSE)=0,"",HLOOKUP($B36,$W$6:$AD$35,18,FALSE))</f>
        <v/>
      </c>
      <c r="K37" s="15" t="str">
        <f>IF(HLOOKUP($B36,$W$6:$AD$35,20,FALSE)=0,"",HLOOKUP($B36,$W$6:$AD$35,20,FALSE))</f>
        <v/>
      </c>
      <c r="L37" s="15" t="str">
        <f>IF(HLOOKUP($B36,$W$6:$AD$35,22,FALSE)=0,"",HLOOKUP($B36,$W$6:$AD$35,22,FALSE))</f>
        <v/>
      </c>
      <c r="M37" s="15" t="str">
        <f>IF(HLOOKUP($B36,$W$6:$AD$35,24,FALSE)=0,"",HLOOKUP($B36,$W$6:$AD$35,24,FALSE))</f>
        <v/>
      </c>
      <c r="N37" s="15" t="str">
        <f>IF(HLOOKUP($B36,$W$6:$AD$35,26,FALSE)=0,"",HLOOKUP($B36,$W$6:$AD$35,26,FALSE))</f>
        <v/>
      </c>
      <c r="O37" s="16" t="str">
        <f>IF(HLOOKUP($B36,$W$6:$AD$35,28,FALSE)=0,"",HLOOKUP($B36,$W$6:$AD$35,28,FALSE))</f>
        <v/>
      </c>
      <c r="P37" s="508"/>
      <c r="Q37" s="506"/>
    </row>
    <row r="38" spans="1:30" ht="13.5" customHeight="1">
      <c r="A38" s="495"/>
      <c r="B38" s="489"/>
      <c r="C38" s="486"/>
      <c r="D38" s="483"/>
      <c r="E38" s="483"/>
      <c r="F38" s="497"/>
      <c r="G38" s="14" t="str">
        <f>IF(HLOOKUP($B36,$W$6:$AD$35,7,FALSE)=0,"",HLOOKUP($B36,$W$6:$AD$35,7,FALSE))</f>
        <v/>
      </c>
      <c r="H38" s="15" t="str">
        <f>IF(HLOOKUP($B36,$W$6:$AD$35,12,FALSE)=0,"",HLOOKUP($B36,$W$6:$AD$35,12,FALSE))</f>
        <v/>
      </c>
      <c r="I38" s="15" t="str">
        <f>IF(HLOOKUP($B36,$W$6:$AD$35,17,FALSE)=0,"",HLOOKUP($B36,$W$6:$AD$35,17,FALSE))</f>
        <v/>
      </c>
      <c r="J38" s="15" t="str">
        <f>IF(HLOOKUP($B36,$W$6:$AD$35,19,FALSE)=0,"",HLOOKUP($B36,$W$6:$AD$35,19,FALSE))</f>
        <v/>
      </c>
      <c r="K38" s="15" t="str">
        <f>IF(HLOOKUP($B36,$W$6:$AD$35,21,FALSE)=0,"",HLOOKUP($B36,$W$6:$AD$35,21,FALSE))</f>
        <v/>
      </c>
      <c r="L38" s="15" t="str">
        <f>IF(HLOOKUP($B36,$W$6:$AD$35,23,FALSE)=0,"",HLOOKUP($B36,$W$6:$AD$35,23,FALSE))</f>
        <v/>
      </c>
      <c r="M38" s="15" t="str">
        <f>IF(HLOOKUP($B36,$W$6:$AD$35,25,FALSE)=0,"",HLOOKUP($B36,$W$6:$AD$35,25,FALSE))</f>
        <v/>
      </c>
      <c r="N38" s="15" t="str">
        <f>IF(HLOOKUP($B36,$W$6:$AD$35,27,FALSE)=0,"",HLOOKUP($B36,$W$6:$AD$35,27,FALSE))</f>
        <v/>
      </c>
      <c r="O38" s="16" t="str">
        <f>IF(HLOOKUP($B36,$W$6:$AD$35,29,FALSE)=0,"",HLOOKUP($B36,$W$6:$AD$35,29,FALSE))</f>
        <v/>
      </c>
      <c r="P38" s="508"/>
      <c r="Q38" s="506"/>
    </row>
    <row r="39" spans="1:30" ht="13.5" customHeight="1">
      <c r="A39" s="495"/>
      <c r="B39" s="489"/>
      <c r="C39" s="486"/>
      <c r="D39" s="483"/>
      <c r="E39" s="483"/>
      <c r="F39" s="497"/>
      <c r="G39" s="14" t="str">
        <f>IF(HLOOKUP($B36,$W$6:$AD$35,8,FALSE)=0,"",HLOOKUP($B36,$W$6:$AD$35,8,FALSE))</f>
        <v/>
      </c>
      <c r="H39" s="15" t="str">
        <f>IF(HLOOKUP($B36,$W$6:$AD$35,13,FALSE)=0,"",HLOOKUP($B36,$W$6:$AD$35,13,FALSE))</f>
        <v/>
      </c>
      <c r="I39" s="18"/>
      <c r="J39" s="18"/>
      <c r="K39" s="18"/>
      <c r="L39" s="18"/>
      <c r="M39" s="18"/>
      <c r="N39" s="18"/>
      <c r="O39" s="19"/>
      <c r="P39" s="508"/>
      <c r="Q39" s="506"/>
    </row>
    <row r="40" spans="1:30" ht="13.5" customHeight="1">
      <c r="A40" s="495"/>
      <c r="B40" s="489"/>
      <c r="C40" s="486"/>
      <c r="D40" s="483"/>
      <c r="E40" s="483"/>
      <c r="F40" s="497"/>
      <c r="G40" s="14" t="str">
        <f>IF(HLOOKUP($B36,$W$6:$AD$35,9,FALSE)=0,"",HLOOKUP($B36,$W$6:$AD$35,9,FALSE))</f>
        <v/>
      </c>
      <c r="H40" s="15" t="str">
        <f>IF(HLOOKUP($B36,$W$6:$AD$35,14,FALSE)=0,"",HLOOKUP($B36,$W$6:$AD$35,14,FALSE))</f>
        <v/>
      </c>
      <c r="I40" s="20"/>
      <c r="J40" s="20"/>
      <c r="K40" s="20"/>
      <c r="L40" s="20"/>
      <c r="M40" s="20"/>
      <c r="N40" s="20"/>
      <c r="O40" s="21"/>
      <c r="P40" s="508"/>
      <c r="Q40" s="506"/>
    </row>
    <row r="41" spans="1:30" ht="13.5" customHeight="1" thickBot="1">
      <c r="A41" s="495"/>
      <c r="B41" s="490"/>
      <c r="C41" s="487"/>
      <c r="D41" s="484"/>
      <c r="E41" s="484"/>
      <c r="F41" s="498"/>
      <c r="G41" s="22" t="str">
        <f>IF(HLOOKUP($B36,$W$6:$AD$35,10,FALSE)=0,"",HLOOKUP($B36,$W$6:$AD$35,10,FALSE))</f>
        <v/>
      </c>
      <c r="H41" s="23" t="str">
        <f>IF(HLOOKUP($B36,$W$6:$AD$35,15,FALSE)=0,"",HLOOKUP($B36,$W$6:$AD$35,15,FALSE))</f>
        <v/>
      </c>
      <c r="I41" s="24"/>
      <c r="J41" s="24"/>
      <c r="K41" s="24"/>
      <c r="L41" s="24"/>
      <c r="M41" s="24"/>
      <c r="N41" s="24"/>
      <c r="O41" s="25"/>
      <c r="P41" s="509"/>
      <c r="Q41" s="501"/>
    </row>
    <row r="42" spans="1:30" ht="13.5" customHeight="1" thickBot="1">
      <c r="A42" s="495">
        <v>7</v>
      </c>
      <c r="B42" s="488">
        <f>SMALL($W$6:$AD$6,A42)</f>
        <v>1.000001463526107</v>
      </c>
      <c r="C42" s="485" t="str">
        <f>HLOOKUP($B42,$W$6:$AD$35,2,FALSE)</f>
        <v>G</v>
      </c>
      <c r="D42" s="482">
        <f>HLOOKUP($B42,$W$6:$AD$35,3,FALSE)</f>
        <v>0</v>
      </c>
      <c r="E42" s="482">
        <f>HLOOKUP($B42,$W$6:$AD$35,4,FALSE)</f>
        <v>0</v>
      </c>
      <c r="F42" s="496">
        <f>HLOOKUP($B42,$W$6:$AD$35,5,FALSE)</f>
        <v>0</v>
      </c>
      <c r="G42" s="10" t="str">
        <f t="shared" ref="G42:O42" si="8">IF(G43="","",SUM(G43:G47))</f>
        <v/>
      </c>
      <c r="H42" s="11" t="str">
        <f t="shared" si="8"/>
        <v/>
      </c>
      <c r="I42" s="11" t="str">
        <f t="shared" si="8"/>
        <v/>
      </c>
      <c r="J42" s="11" t="str">
        <f t="shared" si="8"/>
        <v/>
      </c>
      <c r="K42" s="11" t="str">
        <f t="shared" si="8"/>
        <v/>
      </c>
      <c r="L42" s="11" t="str">
        <f t="shared" si="8"/>
        <v/>
      </c>
      <c r="M42" s="11" t="str">
        <f t="shared" si="8"/>
        <v/>
      </c>
      <c r="N42" s="11" t="str">
        <f t="shared" si="8"/>
        <v/>
      </c>
      <c r="O42" s="12" t="str">
        <f t="shared" si="8"/>
        <v/>
      </c>
      <c r="P42" s="507">
        <f>SUM(G42:O42)</f>
        <v>0</v>
      </c>
      <c r="Q42" s="505">
        <f>P36-P42</f>
        <v>0</v>
      </c>
    </row>
    <row r="43" spans="1:30" ht="13.5" customHeight="1">
      <c r="A43" s="495"/>
      <c r="B43" s="489"/>
      <c r="C43" s="486"/>
      <c r="D43" s="483"/>
      <c r="E43" s="483"/>
      <c r="F43" s="497"/>
      <c r="G43" s="14" t="str">
        <f>IF(HLOOKUP($B42,$W$6:$AD$35,6,FALSE)=0,"",HLOOKUP($B42,$W$6:$AD$35,6,FALSE))</f>
        <v/>
      </c>
      <c r="H43" s="15" t="str">
        <f>IF(HLOOKUP($B42,$W$6:$AD$35,11,FALSE)=0,"",HLOOKUP($B42,$W$6:$AD$35,11,FALSE))</f>
        <v/>
      </c>
      <c r="I43" s="15" t="str">
        <f>IF(HLOOKUP($B42,$W$6:$AD$35,16,FALSE)=0,"",HLOOKUP($B42,$W$6:$AD$35,16,FALSE))</f>
        <v/>
      </c>
      <c r="J43" s="15" t="str">
        <f>IF(HLOOKUP($B42,$W$6:$AD$35,18,FALSE)=0,"",HLOOKUP($B42,$W$6:$AD$35,18,FALSE))</f>
        <v/>
      </c>
      <c r="K43" s="15" t="str">
        <f>IF(HLOOKUP($B42,$W$6:$AD$35,20,FALSE)=0,"",HLOOKUP($B42,$W$6:$AD$35,20,FALSE))</f>
        <v/>
      </c>
      <c r="L43" s="15" t="str">
        <f>IF(HLOOKUP($B42,$W$6:$AD$35,22,FALSE)=0,"",HLOOKUP($B42,$W$6:$AD$35,22,FALSE))</f>
        <v/>
      </c>
      <c r="M43" s="15" t="str">
        <f>IF(HLOOKUP($B42,$W$6:$AD$35,24,FALSE)=0,"",HLOOKUP($B42,$W$6:$AD$35,24,FALSE))</f>
        <v/>
      </c>
      <c r="N43" s="15" t="str">
        <f>IF(HLOOKUP($B42,$W$6:$AD$35,26,FALSE)=0,"",HLOOKUP($B42,$W$6:$AD$35,26,FALSE))</f>
        <v/>
      </c>
      <c r="O43" s="16" t="str">
        <f>IF(HLOOKUP($B42,$W$6:$AD$35,28,FALSE)=0,"",HLOOKUP($B42,$W$6:$AD$35,28,FALSE))</f>
        <v/>
      </c>
      <c r="P43" s="508"/>
      <c r="Q43" s="506"/>
    </row>
    <row r="44" spans="1:30" ht="13.5" customHeight="1">
      <c r="A44" s="495"/>
      <c r="B44" s="489"/>
      <c r="C44" s="486"/>
      <c r="D44" s="483"/>
      <c r="E44" s="483"/>
      <c r="F44" s="497"/>
      <c r="G44" s="14" t="str">
        <f>IF(HLOOKUP($B42,$W$6:$AD$35,7,FALSE)=0,"",HLOOKUP($B42,$W$6:$AD$35,7,FALSE))</f>
        <v/>
      </c>
      <c r="H44" s="15" t="str">
        <f>IF(HLOOKUP($B42,$W$6:$AD$35,12,FALSE)=0,"",HLOOKUP($B42,$W$6:$AD$35,12,FALSE))</f>
        <v/>
      </c>
      <c r="I44" s="15" t="str">
        <f>IF(HLOOKUP($B42,$W$6:$AD$35,17,FALSE)=0,"",HLOOKUP($B42,$W$6:$AD$35,17,FALSE))</f>
        <v/>
      </c>
      <c r="J44" s="15" t="str">
        <f>IF(HLOOKUP($B42,$W$6:$AD$35,19,FALSE)=0,"",HLOOKUP($B42,$W$6:$AD$35,19,FALSE))</f>
        <v/>
      </c>
      <c r="K44" s="15" t="str">
        <f>IF(HLOOKUP($B42,$W$6:$AD$35,21,FALSE)=0,"",HLOOKUP($B42,$W$6:$AD$35,21,FALSE))</f>
        <v/>
      </c>
      <c r="L44" s="15" t="str">
        <f>IF(HLOOKUP($B42,$W$6:$AD$35,23,FALSE)=0,"",HLOOKUP($B42,$W$6:$AD$35,23,FALSE))</f>
        <v/>
      </c>
      <c r="M44" s="15" t="str">
        <f>IF(HLOOKUP($B42,$W$6:$AD$35,25,FALSE)=0,"",HLOOKUP($B42,$W$6:$AD$35,25,FALSE))</f>
        <v/>
      </c>
      <c r="N44" s="15" t="str">
        <f>IF(HLOOKUP($B42,$W$6:$AD$35,27,FALSE)=0,"",HLOOKUP($B42,$W$6:$AD$35,27,FALSE))</f>
        <v/>
      </c>
      <c r="O44" s="16" t="str">
        <f>IF(HLOOKUP($B42,$W$6:$AD$35,29,FALSE)=0,"",HLOOKUP($B42,$W$6:$AD$35,29,FALSE))</f>
        <v/>
      </c>
      <c r="P44" s="508"/>
      <c r="Q44" s="506"/>
    </row>
    <row r="45" spans="1:30" ht="13.5" customHeight="1">
      <c r="A45" s="495"/>
      <c r="B45" s="489"/>
      <c r="C45" s="486"/>
      <c r="D45" s="483"/>
      <c r="E45" s="483"/>
      <c r="F45" s="497"/>
      <c r="G45" s="14" t="str">
        <f>IF(HLOOKUP($B42,$W$6:$AD$35,8,FALSE)=0,"",HLOOKUP($B42,$W$6:$AD$35,8,FALSE))</f>
        <v/>
      </c>
      <c r="H45" s="15" t="str">
        <f>IF(HLOOKUP($B42,$W$6:$AD$35,13,FALSE)=0,"",HLOOKUP($B42,$W$6:$AD$35,13,FALSE))</f>
        <v/>
      </c>
      <c r="I45" s="18"/>
      <c r="J45" s="18"/>
      <c r="K45" s="18"/>
      <c r="L45" s="18"/>
      <c r="M45" s="18"/>
      <c r="N45" s="18"/>
      <c r="O45" s="19"/>
      <c r="P45" s="508"/>
      <c r="Q45" s="506"/>
    </row>
    <row r="46" spans="1:30" ht="13.5" customHeight="1">
      <c r="A46" s="495"/>
      <c r="B46" s="489"/>
      <c r="C46" s="486"/>
      <c r="D46" s="483"/>
      <c r="E46" s="483"/>
      <c r="F46" s="497"/>
      <c r="G46" s="14" t="str">
        <f>IF(HLOOKUP($B42,$W$6:$AD$35,9,FALSE)=0,"",HLOOKUP($B42,$W$6:$AD$35,9,FALSE))</f>
        <v/>
      </c>
      <c r="H46" s="15" t="str">
        <f>IF(HLOOKUP($B42,$W$6:$AD$35,14,FALSE)=0,"",HLOOKUP($B42,$W$6:$AD$35,14,FALSE))</f>
        <v/>
      </c>
      <c r="I46" s="20"/>
      <c r="J46" s="20"/>
      <c r="K46" s="20"/>
      <c r="L46" s="20"/>
      <c r="M46" s="20"/>
      <c r="N46" s="20"/>
      <c r="O46" s="21"/>
      <c r="P46" s="508"/>
      <c r="Q46" s="506"/>
    </row>
    <row r="47" spans="1:30" ht="13.5" customHeight="1" thickBot="1">
      <c r="A47" s="495"/>
      <c r="B47" s="490"/>
      <c r="C47" s="487"/>
      <c r="D47" s="484"/>
      <c r="E47" s="484"/>
      <c r="F47" s="498"/>
      <c r="G47" s="22" t="str">
        <f>IF(HLOOKUP($B42,$W$6:$AD$35,10,FALSE)=0,"",HLOOKUP($B42,$W$6:$AD$35,10,FALSE))</f>
        <v/>
      </c>
      <c r="H47" s="23" t="str">
        <f>IF(HLOOKUP($B42,$W$6:$AD$35,15,FALSE)=0,"",HLOOKUP($B42,$W$6:$AD$35,15,FALSE))</f>
        <v/>
      </c>
      <c r="I47" s="24"/>
      <c r="J47" s="24"/>
      <c r="K47" s="24"/>
      <c r="L47" s="24"/>
      <c r="M47" s="24"/>
      <c r="N47" s="24"/>
      <c r="O47" s="25"/>
      <c r="P47" s="509"/>
      <c r="Q47" s="501"/>
    </row>
    <row r="48" spans="1:30" ht="13.5" customHeight="1" thickBot="1">
      <c r="A48" s="495">
        <v>8</v>
      </c>
      <c r="B48" s="488">
        <f>SMALL($W$6:$AD$6,A48)</f>
        <v>1.000001672601265</v>
      </c>
      <c r="C48" s="485" t="str">
        <f>HLOOKUP($B48,$W$6:$AD$35,2,FALSE)</f>
        <v>H</v>
      </c>
      <c r="D48" s="482">
        <f>HLOOKUP($B48,$W$6:$AD$35,3,FALSE)</f>
        <v>0</v>
      </c>
      <c r="E48" s="482">
        <f>HLOOKUP($B48,$W$6:$AD$35,4,FALSE)</f>
        <v>0</v>
      </c>
      <c r="F48" s="496">
        <f>HLOOKUP($B48,$W$6:$AD$35,5,FALSE)</f>
        <v>0</v>
      </c>
      <c r="G48" s="10" t="str">
        <f t="shared" ref="G48:O48" si="9">IF(G49="","",SUM(G49:G53))</f>
        <v/>
      </c>
      <c r="H48" s="11" t="str">
        <f t="shared" si="9"/>
        <v/>
      </c>
      <c r="I48" s="11" t="str">
        <f t="shared" si="9"/>
        <v/>
      </c>
      <c r="J48" s="11" t="str">
        <f t="shared" si="9"/>
        <v/>
      </c>
      <c r="K48" s="11" t="str">
        <f t="shared" si="9"/>
        <v/>
      </c>
      <c r="L48" s="11" t="str">
        <f t="shared" si="9"/>
        <v/>
      </c>
      <c r="M48" s="11" t="str">
        <f t="shared" si="9"/>
        <v/>
      </c>
      <c r="N48" s="11" t="str">
        <f t="shared" si="9"/>
        <v/>
      </c>
      <c r="O48" s="12" t="str">
        <f t="shared" si="9"/>
        <v/>
      </c>
      <c r="P48" s="507">
        <f>SUM(G48:O48)</f>
        <v>0</v>
      </c>
      <c r="Q48" s="505">
        <f>P42-P48</f>
        <v>0</v>
      </c>
    </row>
    <row r="49" spans="1:17" ht="13.5" customHeight="1">
      <c r="A49" s="495"/>
      <c r="B49" s="489"/>
      <c r="C49" s="486"/>
      <c r="D49" s="483"/>
      <c r="E49" s="483"/>
      <c r="F49" s="497"/>
      <c r="G49" s="14" t="str">
        <f>IF(HLOOKUP($B48,$W$6:$AD$35,6,FALSE)=0,"",HLOOKUP($B48,$W$6:$AD$35,6,FALSE))</f>
        <v/>
      </c>
      <c r="H49" s="15" t="str">
        <f>IF(HLOOKUP($B48,$W$6:$AD$35,11,FALSE)=0,"",HLOOKUP($B48,$W$6:$AD$35,11,FALSE))</f>
        <v/>
      </c>
      <c r="I49" s="15" t="str">
        <f>IF(HLOOKUP($B48,$W$6:$AD$35,16,FALSE)=0,"",HLOOKUP($B48,$W$6:$AD$35,16,FALSE))</f>
        <v/>
      </c>
      <c r="J49" s="15" t="str">
        <f>IF(HLOOKUP($B48,$W$6:$AD$35,18,FALSE)=0,"",HLOOKUP($B48,$W$6:$AD$35,18,FALSE))</f>
        <v/>
      </c>
      <c r="K49" s="15" t="str">
        <f>IF(HLOOKUP($B48,$W$6:$AD$35,20,FALSE)=0,"",HLOOKUP($B48,$W$6:$AD$35,20,FALSE))</f>
        <v/>
      </c>
      <c r="L49" s="15" t="str">
        <f>IF(HLOOKUP($B48,$W$6:$AD$35,22,FALSE)=0,"",HLOOKUP($B48,$W$6:$AD$35,22,FALSE))</f>
        <v/>
      </c>
      <c r="M49" s="15" t="str">
        <f>IF(HLOOKUP($B48,$W$6:$AD$35,24,FALSE)=0,"",HLOOKUP($B48,$W$6:$AD$35,24,FALSE))</f>
        <v/>
      </c>
      <c r="N49" s="15" t="str">
        <f>IF(HLOOKUP($B48,$W$6:$AD$35,26,FALSE)=0,"",HLOOKUP($B48,$W$6:$AD$35,26,FALSE))</f>
        <v/>
      </c>
      <c r="O49" s="16" t="str">
        <f>IF(HLOOKUP($B48,$W$6:$AD$35,28,FALSE)=0,"",HLOOKUP($B48,$W$6:$AD$35,28,FALSE))</f>
        <v/>
      </c>
      <c r="P49" s="508"/>
      <c r="Q49" s="506"/>
    </row>
    <row r="50" spans="1:17" ht="13.5" customHeight="1">
      <c r="A50" s="495"/>
      <c r="B50" s="489"/>
      <c r="C50" s="486"/>
      <c r="D50" s="483"/>
      <c r="E50" s="483"/>
      <c r="F50" s="497"/>
      <c r="G50" s="14" t="str">
        <f>IF(HLOOKUP($B48,$W$6:$AD$35,7,FALSE)=0,"",HLOOKUP($B48,$W$6:$AD$35,7,FALSE))</f>
        <v/>
      </c>
      <c r="H50" s="15" t="str">
        <f>IF(HLOOKUP($B48,$W$6:$AD$35,12,FALSE)=0,"",HLOOKUP($B48,$W$6:$AD$35,12,FALSE))</f>
        <v/>
      </c>
      <c r="I50" s="15" t="str">
        <f>IF(HLOOKUP($B48,$W$6:$AD$35,17,FALSE)=0,"",HLOOKUP($B48,$W$6:$AD$35,17,FALSE))</f>
        <v/>
      </c>
      <c r="J50" s="15" t="str">
        <f>IF(HLOOKUP($B48,$W$6:$AD$35,19,FALSE)=0,"",HLOOKUP($B48,$W$6:$AD$35,19,FALSE))</f>
        <v/>
      </c>
      <c r="K50" s="15" t="str">
        <f>IF(HLOOKUP($B48,$W$6:$AD$35,21,FALSE)=0,"",HLOOKUP($B48,$W$6:$AD$35,21,FALSE))</f>
        <v/>
      </c>
      <c r="L50" s="15" t="str">
        <f>IF(HLOOKUP($B48,$W$6:$AD$35,23,FALSE)=0,"",HLOOKUP($B48,$W$6:$AD$35,23,FALSE))</f>
        <v/>
      </c>
      <c r="M50" s="15" t="str">
        <f>IF(HLOOKUP($B48,$W$6:$AD$35,25,FALSE)=0,"",HLOOKUP($B48,$W$6:$AD$35,25,FALSE))</f>
        <v/>
      </c>
      <c r="N50" s="15" t="str">
        <f>IF(HLOOKUP($B48,$W$6:$AD$35,27,FALSE)=0,"",HLOOKUP($B48,$W$6:$AD$35,27,FALSE))</f>
        <v/>
      </c>
      <c r="O50" s="16" t="str">
        <f>IF(HLOOKUP($B48,$W$6:$AD$35,29,FALSE)=0,"",HLOOKUP($B48,$W$6:$AD$35,29,FALSE))</f>
        <v/>
      </c>
      <c r="P50" s="508"/>
      <c r="Q50" s="506"/>
    </row>
    <row r="51" spans="1:17" ht="13.5" customHeight="1">
      <c r="A51" s="495"/>
      <c r="B51" s="489"/>
      <c r="C51" s="486"/>
      <c r="D51" s="483"/>
      <c r="E51" s="483"/>
      <c r="F51" s="497"/>
      <c r="G51" s="14" t="str">
        <f>IF(HLOOKUP($B48,$W$6:$AD$35,8,FALSE)=0,"",HLOOKUP($B48,$W$6:$AD$35,8,FALSE))</f>
        <v/>
      </c>
      <c r="H51" s="15" t="str">
        <f>IF(HLOOKUP($B48,$W$6:$AD$35,13,FALSE)=0,"",HLOOKUP($B48,$W$6:$AD$35,13,FALSE))</f>
        <v/>
      </c>
      <c r="I51" s="18"/>
      <c r="J51" s="18"/>
      <c r="K51" s="18"/>
      <c r="L51" s="18"/>
      <c r="M51" s="18"/>
      <c r="N51" s="18"/>
      <c r="O51" s="19"/>
      <c r="P51" s="508"/>
      <c r="Q51" s="506"/>
    </row>
    <row r="52" spans="1:17" ht="13.5" customHeight="1">
      <c r="A52" s="495"/>
      <c r="B52" s="489"/>
      <c r="C52" s="486"/>
      <c r="D52" s="483"/>
      <c r="E52" s="483"/>
      <c r="F52" s="497"/>
      <c r="G52" s="14" t="str">
        <f>IF(HLOOKUP($B48,$W$6:$AD$35,9,FALSE)=0,"",HLOOKUP($B48,$W$6:$AD$35,9,FALSE))</f>
        <v/>
      </c>
      <c r="H52" s="15" t="str">
        <f>IF(HLOOKUP($B48,$W$6:$AD$35,14,FALSE)=0,"",HLOOKUP($B48,$W$6:$AD$35,14,FALSE))</f>
        <v/>
      </c>
      <c r="I52" s="20"/>
      <c r="J52" s="20"/>
      <c r="K52" s="20"/>
      <c r="L52" s="20"/>
      <c r="M52" s="20"/>
      <c r="N52" s="20"/>
      <c r="O52" s="21"/>
      <c r="P52" s="508"/>
      <c r="Q52" s="506"/>
    </row>
    <row r="53" spans="1:17" ht="13.5" customHeight="1" thickBot="1">
      <c r="A53" s="495"/>
      <c r="B53" s="490"/>
      <c r="C53" s="523"/>
      <c r="D53" s="524"/>
      <c r="E53" s="524"/>
      <c r="F53" s="517"/>
      <c r="G53" s="22" t="str">
        <f>IF(HLOOKUP($B48,$W$6:$AD$35,10,FALSE)=0,"",HLOOKUP($B48,$W$6:$AD$35,10,FALSE))</f>
        <v/>
      </c>
      <c r="H53" s="23" t="str">
        <f>IF(HLOOKUP($B48,$W$6:$AD$35,15,FALSE)=0,"",HLOOKUP($B48,$W$6:$AD$35,15,FALSE))</f>
        <v/>
      </c>
      <c r="I53" s="24"/>
      <c r="J53" s="24"/>
      <c r="K53" s="24"/>
      <c r="L53" s="24"/>
      <c r="M53" s="24"/>
      <c r="N53" s="24"/>
      <c r="O53" s="25"/>
      <c r="P53" s="509"/>
      <c r="Q53" s="501"/>
    </row>
    <row r="54" spans="1:17">
      <c r="C54" s="1"/>
    </row>
    <row r="55" spans="1:17">
      <c r="C55" s="1"/>
    </row>
    <row r="56" spans="1:17">
      <c r="C56" s="1"/>
    </row>
    <row r="57" spans="1:17">
      <c r="C57" s="1"/>
    </row>
    <row r="58" spans="1:17">
      <c r="C58" s="1"/>
    </row>
    <row r="59" spans="1:17">
      <c r="C59" s="1"/>
    </row>
    <row r="60" spans="1:17">
      <c r="C60" s="1"/>
    </row>
    <row r="61" spans="1:17">
      <c r="C61" s="1"/>
    </row>
    <row r="62" spans="1:17">
      <c r="C62" s="1"/>
    </row>
    <row r="63" spans="1:17">
      <c r="C63" s="1"/>
    </row>
    <row r="64" spans="1:17">
      <c r="C64" s="1"/>
    </row>
    <row r="65" spans="3:3">
      <c r="C65" s="1"/>
    </row>
    <row r="66" spans="3:3">
      <c r="C66" s="1"/>
    </row>
    <row r="67" spans="3:3">
      <c r="C67" s="1"/>
    </row>
    <row r="68" spans="3:3">
      <c r="C68" s="1"/>
    </row>
    <row r="69" spans="3:3">
      <c r="C69" s="1"/>
    </row>
    <row r="70" spans="3:3">
      <c r="C70" s="1"/>
    </row>
    <row r="71" spans="3:3">
      <c r="C71" s="1"/>
    </row>
    <row r="72" spans="3:3">
      <c r="C72" s="1"/>
    </row>
    <row r="73" spans="3:3">
      <c r="C73" s="1"/>
    </row>
    <row r="74" spans="3:3">
      <c r="C74" s="1"/>
    </row>
    <row r="75" spans="3:3">
      <c r="C75" s="1"/>
    </row>
    <row r="76" spans="3:3">
      <c r="C76" s="1"/>
    </row>
    <row r="77" spans="3:3">
      <c r="C77" s="1"/>
    </row>
    <row r="78" spans="3:3">
      <c r="C78" s="1"/>
    </row>
    <row r="79" spans="3:3">
      <c r="C79" s="1"/>
    </row>
    <row r="80" spans="3:3">
      <c r="C80" s="1"/>
    </row>
    <row r="81" spans="3:3">
      <c r="C81" s="1"/>
    </row>
    <row r="82" spans="3:3">
      <c r="C82" s="1"/>
    </row>
    <row r="83" spans="3:3">
      <c r="C83" s="1"/>
    </row>
    <row r="84" spans="3:3">
      <c r="C84" s="1"/>
    </row>
  </sheetData>
  <mergeCells count="75">
    <mergeCell ref="A42:A47"/>
    <mergeCell ref="A48:A53"/>
    <mergeCell ref="E42:E47"/>
    <mergeCell ref="C48:C53"/>
    <mergeCell ref="D48:D53"/>
    <mergeCell ref="E48:E53"/>
    <mergeCell ref="B48:B53"/>
    <mergeCell ref="B42:B47"/>
    <mergeCell ref="D42:D47"/>
    <mergeCell ref="A18:A23"/>
    <mergeCell ref="A24:A29"/>
    <mergeCell ref="A30:A35"/>
    <mergeCell ref="B30:B35"/>
    <mergeCell ref="A36:A41"/>
    <mergeCell ref="B36:B41"/>
    <mergeCell ref="P24:P29"/>
    <mergeCell ref="B24:B29"/>
    <mergeCell ref="P30:P35"/>
    <mergeCell ref="B4:B5"/>
    <mergeCell ref="P6:P11"/>
    <mergeCell ref="B6:B11"/>
    <mergeCell ref="P12:P17"/>
    <mergeCell ref="P18:P23"/>
    <mergeCell ref="B18:B23"/>
    <mergeCell ref="C18:C23"/>
    <mergeCell ref="F6:F11"/>
    <mergeCell ref="C30:C35"/>
    <mergeCell ref="D30:D35"/>
    <mergeCell ref="E30:E35"/>
    <mergeCell ref="D18:D23"/>
    <mergeCell ref="E18:E23"/>
    <mergeCell ref="P48:P53"/>
    <mergeCell ref="P4:P5"/>
    <mergeCell ref="P42:P47"/>
    <mergeCell ref="Q48:Q53"/>
    <mergeCell ref="F42:F47"/>
    <mergeCell ref="G4:H4"/>
    <mergeCell ref="I4:O5"/>
    <mergeCell ref="P36:P41"/>
    <mergeCell ref="Q24:Q29"/>
    <mergeCell ref="Q30:Q35"/>
    <mergeCell ref="Q36:Q41"/>
    <mergeCell ref="Q42:Q47"/>
    <mergeCell ref="F12:F17"/>
    <mergeCell ref="F48:F53"/>
    <mergeCell ref="F30:F35"/>
    <mergeCell ref="F4:F5"/>
    <mergeCell ref="V7:V10"/>
    <mergeCell ref="Q4:Q5"/>
    <mergeCell ref="Q6:Q11"/>
    <mergeCell ref="Q12:Q17"/>
    <mergeCell ref="Q18:Q23"/>
    <mergeCell ref="C36:C41"/>
    <mergeCell ref="D36:D41"/>
    <mergeCell ref="F36:F41"/>
    <mergeCell ref="C42:C47"/>
    <mergeCell ref="E36:E41"/>
    <mergeCell ref="F18:F23"/>
    <mergeCell ref="C24:C29"/>
    <mergeCell ref="D24:D29"/>
    <mergeCell ref="E24:E29"/>
    <mergeCell ref="F24:F29"/>
    <mergeCell ref="A4:A5"/>
    <mergeCell ref="E6:E11"/>
    <mergeCell ref="D6:D11"/>
    <mergeCell ref="C6:C11"/>
    <mergeCell ref="C12:C17"/>
    <mergeCell ref="D12:D17"/>
    <mergeCell ref="E12:E17"/>
    <mergeCell ref="B12:B17"/>
    <mergeCell ref="C4:C5"/>
    <mergeCell ref="D4:D5"/>
    <mergeCell ref="A6:A11"/>
    <mergeCell ref="A12:A17"/>
    <mergeCell ref="E4:E5"/>
  </mergeCells>
  <phoneticPr fontId="1"/>
  <conditionalFormatting sqref="G6:H48">
    <cfRule type="cellIs" dxfId="7" priority="8" stopIfTrue="1" operator="greaterThan">
      <formula>52.4</formula>
    </cfRule>
  </conditionalFormatting>
  <conditionalFormatting sqref="G7:O17">
    <cfRule type="cellIs" dxfId="6" priority="172" stopIfTrue="1" operator="greaterThan">
      <formula>10.4</formula>
    </cfRule>
  </conditionalFormatting>
  <conditionalFormatting sqref="G19:O53">
    <cfRule type="cellIs" dxfId="5" priority="10" stopIfTrue="1" operator="greaterThan">
      <formula>10.4</formula>
    </cfRule>
  </conditionalFormatting>
  <conditionalFormatting sqref="I6:O48">
    <cfRule type="cellIs" dxfId="4" priority="1" stopIfTrue="1" operator="greaterThan">
      <formula>20.9</formula>
    </cfRule>
  </conditionalFormatting>
  <printOptions horizontalCentered="1"/>
  <pageMargins left="0" right="0" top="0.78740157480314965" bottom="0" header="0" footer="0"/>
  <pageSetup paperSize="9" scale="9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AD84"/>
  <sheetViews>
    <sheetView view="pageBreakPreview" topLeftCell="A4" zoomScale="85" zoomScaleNormal="100" zoomScaleSheetLayoutView="85" workbookViewId="0">
      <pane xSplit="17" topLeftCell="U1" activePane="topRight" state="frozenSplit"/>
      <selection activeCell="D19" sqref="D19"/>
      <selection pane="topRight" activeCell="K24" sqref="K24"/>
    </sheetView>
  </sheetViews>
  <sheetFormatPr defaultColWidth="9" defaultRowHeight="13.2"/>
  <cols>
    <col min="1" max="1" width="0.88671875" style="6" customWidth="1"/>
    <col min="2" max="2" width="3.6640625" style="1" bestFit="1" customWidth="1"/>
    <col min="3" max="3" width="3.109375" style="3" bestFit="1" customWidth="1"/>
    <col min="4" max="4" width="13.21875" style="1" bestFit="1" customWidth="1"/>
    <col min="5" max="5" width="9.21875" style="1" bestFit="1" customWidth="1"/>
    <col min="6" max="6" width="8.77734375" style="1" bestFit="1" customWidth="1"/>
    <col min="7" max="7" width="7.33203125" style="1" bestFit="1" customWidth="1"/>
    <col min="8" max="15" width="7.33203125" style="1" customWidth="1"/>
    <col min="16" max="16" width="8.109375" style="1" bestFit="1" customWidth="1"/>
    <col min="17" max="17" width="7.33203125" style="1" bestFit="1" customWidth="1"/>
    <col min="18" max="21" width="9" style="1"/>
    <col min="22" max="22" width="5.33203125" style="1" bestFit="1" customWidth="1"/>
    <col min="23" max="30" width="5.77734375" style="1" bestFit="1" customWidth="1"/>
    <col min="31" max="16384" width="9" style="1"/>
  </cols>
  <sheetData>
    <row r="1" spans="1:30" ht="30" customHeight="1"/>
    <row r="2" spans="1:30" ht="30" customHeight="1">
      <c r="C2" s="2" t="s">
        <v>73</v>
      </c>
      <c r="D2" s="2"/>
      <c r="E2" s="2"/>
      <c r="F2" s="7" t="s">
        <v>79</v>
      </c>
      <c r="G2" s="2"/>
      <c r="H2" s="2"/>
      <c r="I2" s="2"/>
      <c r="J2" s="2"/>
      <c r="K2" s="2"/>
      <c r="L2" s="2"/>
      <c r="M2" s="2"/>
      <c r="N2" s="2"/>
      <c r="O2" s="2"/>
    </row>
    <row r="3" spans="1:30" ht="16.8" thickBot="1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30">
      <c r="A4" s="481"/>
      <c r="B4" s="520" t="s">
        <v>4</v>
      </c>
      <c r="C4" s="491" t="s">
        <v>0</v>
      </c>
      <c r="D4" s="493" t="s">
        <v>1</v>
      </c>
      <c r="E4" s="493" t="s">
        <v>2</v>
      </c>
      <c r="F4" s="518" t="s">
        <v>29</v>
      </c>
      <c r="G4" s="511" t="s">
        <v>62</v>
      </c>
      <c r="H4" s="512"/>
      <c r="I4" s="513" t="s">
        <v>63</v>
      </c>
      <c r="J4" s="514"/>
      <c r="K4" s="514"/>
      <c r="L4" s="514"/>
      <c r="M4" s="514"/>
      <c r="N4" s="514"/>
      <c r="O4" s="500"/>
      <c r="P4" s="510" t="s">
        <v>8</v>
      </c>
      <c r="Q4" s="500" t="s">
        <v>64</v>
      </c>
    </row>
    <row r="5" spans="1:30" ht="13.8" thickBot="1">
      <c r="A5" s="481"/>
      <c r="B5" s="521"/>
      <c r="C5" s="492"/>
      <c r="D5" s="494"/>
      <c r="E5" s="494"/>
      <c r="F5" s="519"/>
      <c r="G5" s="8" t="s">
        <v>70</v>
      </c>
      <c r="H5" s="9" t="s">
        <v>71</v>
      </c>
      <c r="I5" s="515"/>
      <c r="J5" s="516"/>
      <c r="K5" s="516"/>
      <c r="L5" s="516"/>
      <c r="M5" s="516"/>
      <c r="N5" s="516"/>
      <c r="O5" s="501"/>
      <c r="P5" s="509"/>
      <c r="Q5" s="501"/>
    </row>
    <row r="6" spans="1:30" ht="13.5" customHeight="1" thickBot="1">
      <c r="A6" s="495">
        <v>1</v>
      </c>
      <c r="B6" s="488">
        <f>SMALL($W$6:$AD$6,A6)</f>
        <v>1.0000002090751581</v>
      </c>
      <c r="C6" s="485" t="str">
        <f>HLOOKUP($B6,$W$6:$AD$35,2,FALSE)</f>
        <v>A</v>
      </c>
      <c r="D6" s="482">
        <f>HLOOKUP($B6,$W$6:$AD$35,3,FALSE)</f>
        <v>0</v>
      </c>
      <c r="E6" s="482">
        <f>HLOOKUP($B6,$W$6:$AD$35,4,FALSE)</f>
        <v>0</v>
      </c>
      <c r="F6" s="496">
        <f>HLOOKUP($B6,$W$6:$AD$35,5,FALSE)</f>
        <v>0</v>
      </c>
      <c r="G6" s="10" t="str">
        <f t="shared" ref="G6:O6" si="0">IF(G7="","",SUM(G7:G11))</f>
        <v/>
      </c>
      <c r="H6" s="11" t="str">
        <f t="shared" si="0"/>
        <v/>
      </c>
      <c r="I6" s="11" t="str">
        <f t="shared" si="0"/>
        <v/>
      </c>
      <c r="J6" s="11" t="str">
        <f t="shared" si="0"/>
        <v/>
      </c>
      <c r="K6" s="11" t="str">
        <f t="shared" si="0"/>
        <v/>
      </c>
      <c r="L6" s="11" t="str">
        <f t="shared" si="0"/>
        <v/>
      </c>
      <c r="M6" s="11" t="str">
        <f t="shared" si="0"/>
        <v/>
      </c>
      <c r="N6" s="11" t="str">
        <f t="shared" si="0"/>
        <v/>
      </c>
      <c r="O6" s="12" t="str">
        <f t="shared" si="0"/>
        <v/>
      </c>
      <c r="P6" s="507">
        <f>SUM(G6:O6)</f>
        <v>0</v>
      </c>
      <c r="Q6" s="502"/>
      <c r="V6" s="13" t="s">
        <v>4</v>
      </c>
      <c r="W6" s="5">
        <f t="shared" ref="W6:AD6" si="1">RANK(W$35,$W$35:$AD$35)+COLUMN(A1)/9^7</f>
        <v>1.0000002090751581</v>
      </c>
      <c r="X6" s="5">
        <f t="shared" si="1"/>
        <v>1.0000004181503162</v>
      </c>
      <c r="Y6" s="5">
        <f t="shared" si="1"/>
        <v>1.0000006272254744</v>
      </c>
      <c r="Z6" s="5">
        <f t="shared" si="1"/>
        <v>1.0000008363006325</v>
      </c>
      <c r="AA6" s="5">
        <f t="shared" si="1"/>
        <v>1.0000010453757906</v>
      </c>
      <c r="AB6" s="5">
        <f t="shared" si="1"/>
        <v>1.0000012544509487</v>
      </c>
      <c r="AC6" s="5">
        <f t="shared" si="1"/>
        <v>1.000001463526107</v>
      </c>
      <c r="AD6" s="5">
        <f t="shared" si="1"/>
        <v>1.000001672601265</v>
      </c>
    </row>
    <row r="7" spans="1:30" ht="13.5" customHeight="1">
      <c r="A7" s="495"/>
      <c r="B7" s="489"/>
      <c r="C7" s="486"/>
      <c r="D7" s="483"/>
      <c r="E7" s="483"/>
      <c r="F7" s="497"/>
      <c r="G7" s="14" t="str">
        <f>IF(HLOOKUP($B6,$W$6:$AD$35,6,FALSE)=0,"",HLOOKUP($B6,$W$6:$AD$35,6,FALSE))</f>
        <v/>
      </c>
      <c r="H7" s="15" t="str">
        <f>IF(HLOOKUP($B6,$W$6:$AD$35,11,FALSE)=0,"",HLOOKUP($B6,$W$6:$AD$35,11,FALSE))</f>
        <v/>
      </c>
      <c r="I7" s="15" t="str">
        <f>IF(HLOOKUP($B6,$W$6:$AD$35,16,FALSE)=0,"",HLOOKUP($B6,$W$6:$AD$35,16,FALSE))</f>
        <v/>
      </c>
      <c r="J7" s="15" t="str">
        <f>IF(HLOOKUP($B6,$W$6:$AD$35,18,FALSE)=0,"",HLOOKUP($B6,$W$6:$AD$35,18,FALSE))</f>
        <v/>
      </c>
      <c r="K7" s="15" t="str">
        <f>IF(HLOOKUP($B6,$W$6:$AD$35,20,FALSE)=0,"",HLOOKUP($B6,$W$6:$AD$35,20,FALSE))</f>
        <v/>
      </c>
      <c r="L7" s="15" t="str">
        <f>IF(HLOOKUP($B6,$W$6:$AD$35,22,FALSE)=0,"",HLOOKUP($B6,$W$6:$AD$35,22,FALSE))</f>
        <v/>
      </c>
      <c r="M7" s="15" t="str">
        <f>IF(HLOOKUP($B6,$W$6:$AD$35,24,FALSE)=0,"",HLOOKUP($B6,$W$6:$AD$35,24,FALSE))</f>
        <v/>
      </c>
      <c r="N7" s="15" t="str">
        <f>IF(HLOOKUP($B6,$W$6:$AD$35,26,FALSE)=0,"",HLOOKUP($B6,$W$6:$AD$35,26,FALSE))</f>
        <v/>
      </c>
      <c r="O7" s="16" t="str">
        <f>IF(HLOOKUP($B6,$W$6:$AD$35,28,FALSE)=0,"",HLOOKUP($B6,$W$6:$AD$35,28,FALSE))</f>
        <v/>
      </c>
      <c r="P7" s="508"/>
      <c r="Q7" s="503"/>
      <c r="V7" s="499"/>
      <c r="W7" s="17" t="s">
        <v>59</v>
      </c>
      <c r="X7" s="17" t="s">
        <v>60</v>
      </c>
      <c r="Y7" s="17" t="s">
        <v>65</v>
      </c>
      <c r="Z7" s="17" t="s">
        <v>66</v>
      </c>
      <c r="AA7" s="17" t="s">
        <v>67</v>
      </c>
      <c r="AB7" s="17" t="s">
        <v>68</v>
      </c>
      <c r="AC7" s="17" t="s">
        <v>61</v>
      </c>
      <c r="AD7" s="17" t="s">
        <v>69</v>
      </c>
    </row>
    <row r="8" spans="1:30" ht="13.5" customHeight="1">
      <c r="A8" s="495"/>
      <c r="B8" s="489"/>
      <c r="C8" s="486"/>
      <c r="D8" s="483"/>
      <c r="E8" s="483"/>
      <c r="F8" s="497"/>
      <c r="G8" s="14" t="str">
        <f>IF(HLOOKUP($B6,$W$6:$AD$35,7,FALSE)=0,"",HLOOKUP($B6,$W$6:$AD$35,7,FALSE))</f>
        <v/>
      </c>
      <c r="H8" s="15" t="str">
        <f>IF(HLOOKUP($B6,$W$6:$AD$35,12,FALSE)=0,"",HLOOKUP($B6,$W$6:$AD$35,12,FALSE))</f>
        <v/>
      </c>
      <c r="I8" s="15" t="str">
        <f>IF(HLOOKUP($B6,$W$6:$AD$35,17,FALSE)=0,"",HLOOKUP($B6,$W$6:$AD$35,17,FALSE))</f>
        <v/>
      </c>
      <c r="J8" s="15" t="str">
        <f>IF(HLOOKUP($B6,$W$6:$AD$35,19,FALSE)=0,"",HLOOKUP($B6,$W$6:$AD$35,19,FALSE))</f>
        <v/>
      </c>
      <c r="K8" s="15" t="str">
        <f>IF(HLOOKUP($B6,$W$6:$AD$35,21,FALSE)=0,"",HLOOKUP($B6,$W$6:$AD$35,21,FALSE))</f>
        <v/>
      </c>
      <c r="L8" s="15" t="str">
        <f>IF(HLOOKUP($B6,$W$6:$AD$35,23,FALSE)=0,"",HLOOKUP($B6,$W$6:$AD$35,23,FALSE))</f>
        <v/>
      </c>
      <c r="M8" s="15" t="str">
        <f>IF(HLOOKUP($B6,$W$6:$AD$35,25,FALSE)=0,"",HLOOKUP($B6,$W$6:$AD$35,25,FALSE))</f>
        <v/>
      </c>
      <c r="N8" s="15" t="str">
        <f>IF(HLOOKUP($B6,$W$6:$AD$35,27,FALSE)=0,"",HLOOKUP($B6,$W$6:$AD$35,27,FALSE))</f>
        <v/>
      </c>
      <c r="O8" s="16" t="str">
        <f>IF(HLOOKUP($B6,$W$6:$AD$35,29,FALSE)=0,"",HLOOKUP($B6,$W$6:$AD$35,29,FALSE))</f>
        <v/>
      </c>
      <c r="P8" s="508"/>
      <c r="Q8" s="503"/>
      <c r="V8" s="499"/>
      <c r="W8" s="17"/>
      <c r="X8" s="17"/>
      <c r="Y8" s="17"/>
      <c r="Z8" s="17"/>
      <c r="AA8" s="17"/>
      <c r="AB8" s="17"/>
      <c r="AC8" s="17"/>
      <c r="AD8" s="17"/>
    </row>
    <row r="9" spans="1:30" ht="13.5" customHeight="1">
      <c r="A9" s="495"/>
      <c r="B9" s="489"/>
      <c r="C9" s="486"/>
      <c r="D9" s="483"/>
      <c r="E9" s="483"/>
      <c r="F9" s="497"/>
      <c r="G9" s="14" t="str">
        <f>IF(HLOOKUP($B6,$W$6:$AD$35,8,FALSE)=0,"",HLOOKUP($B6,$W$6:$AD$35,8,FALSE))</f>
        <v/>
      </c>
      <c r="H9" s="15" t="str">
        <f>IF(HLOOKUP($B6,$W$6:$AD$35,13,FALSE)=0,"",HLOOKUP($B6,$W$6:$AD$35,13,FALSE))</f>
        <v/>
      </c>
      <c r="I9" s="18"/>
      <c r="J9" s="18"/>
      <c r="K9" s="18"/>
      <c r="L9" s="18"/>
      <c r="M9" s="18"/>
      <c r="N9" s="18"/>
      <c r="O9" s="19"/>
      <c r="P9" s="508"/>
      <c r="Q9" s="503"/>
      <c r="V9" s="499"/>
      <c r="W9" s="17"/>
      <c r="X9" s="17"/>
      <c r="Y9" s="17"/>
      <c r="Z9" s="17"/>
      <c r="AA9" s="17"/>
      <c r="AB9" s="17"/>
      <c r="AC9" s="17"/>
      <c r="AD9" s="17"/>
    </row>
    <row r="10" spans="1:30" ht="13.5" customHeight="1">
      <c r="A10" s="495"/>
      <c r="B10" s="489"/>
      <c r="C10" s="486"/>
      <c r="D10" s="483"/>
      <c r="E10" s="483"/>
      <c r="F10" s="497"/>
      <c r="G10" s="14" t="str">
        <f>IF(HLOOKUP($B6,$W$6:$AD$35,9,FALSE)=0,"",HLOOKUP($B6,$W$6:$AD$35,9,FALSE))</f>
        <v/>
      </c>
      <c r="H10" s="15" t="str">
        <f>IF(HLOOKUP($B6,$W$6:$AD$35,14,FALSE)=0,"",HLOOKUP($B6,$W$6:$AD$35,14,FALSE))</f>
        <v/>
      </c>
      <c r="I10" s="20"/>
      <c r="J10" s="20"/>
      <c r="K10" s="20"/>
      <c r="L10" s="20"/>
      <c r="M10" s="20"/>
      <c r="N10" s="20"/>
      <c r="O10" s="21"/>
      <c r="P10" s="508"/>
      <c r="Q10" s="503"/>
      <c r="V10" s="499"/>
      <c r="W10" s="17"/>
      <c r="X10" s="17"/>
      <c r="Y10" s="17"/>
      <c r="Z10" s="17"/>
      <c r="AA10" s="17"/>
      <c r="AB10" s="17"/>
      <c r="AC10" s="17"/>
      <c r="AD10" s="17"/>
    </row>
    <row r="11" spans="1:30" ht="13.5" customHeight="1" thickBot="1">
      <c r="A11" s="495"/>
      <c r="B11" s="490"/>
      <c r="C11" s="487"/>
      <c r="D11" s="484"/>
      <c r="E11" s="484"/>
      <c r="F11" s="498"/>
      <c r="G11" s="22" t="str">
        <f>IF(HLOOKUP($B6,$W$6:$AD$35,10,FALSE)=0,"",HLOOKUP($B6,$W$6:$AD$35,10,FALSE))</f>
        <v/>
      </c>
      <c r="H11" s="23" t="str">
        <f>IF(HLOOKUP($B6,$W$6:$AD$35,15,FALSE)=0,"",HLOOKUP($B6,$W$6:$AD$35,15,FALSE))</f>
        <v/>
      </c>
      <c r="I11" s="24"/>
      <c r="J11" s="24"/>
      <c r="K11" s="24"/>
      <c r="L11" s="24"/>
      <c r="M11" s="24"/>
      <c r="N11" s="24"/>
      <c r="O11" s="25"/>
      <c r="P11" s="509"/>
      <c r="Q11" s="504"/>
      <c r="V11" s="4">
        <v>1</v>
      </c>
      <c r="W11" s="26"/>
      <c r="X11" s="26"/>
      <c r="Y11" s="26"/>
      <c r="Z11" s="26"/>
      <c r="AA11" s="26"/>
      <c r="AB11" s="26"/>
      <c r="AC11" s="26"/>
      <c r="AD11" s="26"/>
    </row>
    <row r="12" spans="1:30" ht="13.5" customHeight="1" thickBot="1">
      <c r="A12" s="495">
        <v>2</v>
      </c>
      <c r="B12" s="488">
        <f>SMALL($W$6:$AD$6,A12)</f>
        <v>1.0000004181503162</v>
      </c>
      <c r="C12" s="485" t="str">
        <f>HLOOKUP($B12,$W$6:$AD$35,2,FALSE)</f>
        <v>B</v>
      </c>
      <c r="D12" s="482">
        <f>HLOOKUP($B12,$W$6:$AD$35,3,FALSE)</f>
        <v>0</v>
      </c>
      <c r="E12" s="482">
        <f>HLOOKUP($B12,$W$6:$AD$35,4,FALSE)</f>
        <v>0</v>
      </c>
      <c r="F12" s="496">
        <f>HLOOKUP($B12,$W$6:$AD$35,5,FALSE)</f>
        <v>0</v>
      </c>
      <c r="G12" s="10" t="str">
        <f t="shared" ref="G12:O12" si="2">IF(G13="","",SUM(G13:G17))</f>
        <v/>
      </c>
      <c r="H12" s="11" t="str">
        <f t="shared" si="2"/>
        <v/>
      </c>
      <c r="I12" s="11" t="str">
        <f t="shared" si="2"/>
        <v/>
      </c>
      <c r="J12" s="11" t="str">
        <f t="shared" si="2"/>
        <v/>
      </c>
      <c r="K12" s="11" t="str">
        <f t="shared" si="2"/>
        <v/>
      </c>
      <c r="L12" s="11" t="str">
        <f t="shared" si="2"/>
        <v/>
      </c>
      <c r="M12" s="11" t="str">
        <f t="shared" si="2"/>
        <v/>
      </c>
      <c r="N12" s="11" t="str">
        <f t="shared" si="2"/>
        <v/>
      </c>
      <c r="O12" s="12" t="str">
        <f t="shared" si="2"/>
        <v/>
      </c>
      <c r="P12" s="507">
        <f>SUM(G12:O12)</f>
        <v>0</v>
      </c>
      <c r="Q12" s="505">
        <f>P6-P12</f>
        <v>0</v>
      </c>
      <c r="V12" s="4">
        <v>2</v>
      </c>
      <c r="W12" s="26"/>
      <c r="X12" s="26"/>
      <c r="Y12" s="26"/>
      <c r="Z12" s="26"/>
      <c r="AA12" s="26"/>
      <c r="AB12" s="26"/>
      <c r="AC12" s="26"/>
      <c r="AD12" s="26"/>
    </row>
    <row r="13" spans="1:30" ht="13.5" customHeight="1">
      <c r="A13" s="495"/>
      <c r="B13" s="489"/>
      <c r="C13" s="486"/>
      <c r="D13" s="483"/>
      <c r="E13" s="483"/>
      <c r="F13" s="497"/>
      <c r="G13" s="14" t="str">
        <f>IF(HLOOKUP($B12,$W$6:$AD$35,6,FALSE)=0,"",HLOOKUP($B12,$W$6:$AD$35,6,FALSE))</f>
        <v/>
      </c>
      <c r="H13" s="15" t="str">
        <f>IF(HLOOKUP($B12,$W$6:$AD$35,11,FALSE)=0,"",HLOOKUP($B12,$W$6:$AD$35,11,FALSE))</f>
        <v/>
      </c>
      <c r="I13" s="15" t="str">
        <f>IF(HLOOKUP($B12,$W$6:$AD$35,16,FALSE)=0,"",HLOOKUP($B12,$W$6:$AD$35,16,FALSE))</f>
        <v/>
      </c>
      <c r="J13" s="15" t="str">
        <f>IF(HLOOKUP($B12,$W$6:$AD$35,18,FALSE)=0,"",HLOOKUP($B12,$W$6:$AD$35,18,FALSE))</f>
        <v/>
      </c>
      <c r="K13" s="15" t="str">
        <f>IF(HLOOKUP($B12,$W$6:$AD$35,20,FALSE)=0,"",HLOOKUP($B12,$W$6:$AD$35,20,FALSE))</f>
        <v/>
      </c>
      <c r="L13" s="15" t="str">
        <f>IF(HLOOKUP($B12,$W$6:$AD$35,22,FALSE)=0,"",HLOOKUP($B12,$W$6:$AD$35,22,FALSE))</f>
        <v/>
      </c>
      <c r="M13" s="15" t="str">
        <f>IF(HLOOKUP($B12,$W$6:$AD$35,24,FALSE)=0,"",HLOOKUP($B12,$W$6:$AD$35,24,FALSE))</f>
        <v/>
      </c>
      <c r="N13" s="15" t="str">
        <f>IF(HLOOKUP($B12,$W$6:$AD$35,26,FALSE)=0,"",HLOOKUP($B12,$W$6:$AD$35,26,FALSE))</f>
        <v/>
      </c>
      <c r="O13" s="16" t="str">
        <f>IF(HLOOKUP($B12,$W$6:$AD$35,28,FALSE)=0,"",HLOOKUP($B12,$W$6:$AD$35,28,FALSE))</f>
        <v/>
      </c>
      <c r="P13" s="508"/>
      <c r="Q13" s="506"/>
      <c r="V13" s="4">
        <v>3</v>
      </c>
      <c r="W13" s="26"/>
      <c r="X13" s="26"/>
      <c r="Y13" s="26"/>
      <c r="Z13" s="26"/>
      <c r="AA13" s="26"/>
      <c r="AB13" s="26"/>
      <c r="AC13" s="26"/>
      <c r="AD13" s="26"/>
    </row>
    <row r="14" spans="1:30" ht="13.5" customHeight="1">
      <c r="A14" s="495"/>
      <c r="B14" s="489"/>
      <c r="C14" s="486"/>
      <c r="D14" s="483"/>
      <c r="E14" s="483"/>
      <c r="F14" s="497"/>
      <c r="G14" s="14" t="str">
        <f>IF(HLOOKUP($B12,$W$6:$AD$35,7,FALSE)=0,"",HLOOKUP($B12,$W$6:$AD$35,7,FALSE))</f>
        <v/>
      </c>
      <c r="H14" s="15" t="str">
        <f>IF(HLOOKUP($B12,$W$6:$AD$35,12,FALSE)=0,"",HLOOKUP($B12,$W$6:$AD$35,12,FALSE))</f>
        <v/>
      </c>
      <c r="I14" s="15" t="str">
        <f>IF(HLOOKUP($B12,$W$6:$AD$35,17,FALSE)=0,"",HLOOKUP($B12,$W$6:$AD$35,17,FALSE))</f>
        <v/>
      </c>
      <c r="J14" s="15" t="str">
        <f>IF(HLOOKUP($B12,$W$6:$AD$35,19,FALSE)=0,"",HLOOKUP($B12,$W$6:$AD$35,19,FALSE))</f>
        <v/>
      </c>
      <c r="K14" s="15" t="str">
        <f>IF(HLOOKUP($B12,$W$6:$AD$35,21,FALSE)=0,"",HLOOKUP($B12,$W$6:$AD$35,21,FALSE))</f>
        <v/>
      </c>
      <c r="L14" s="15" t="str">
        <f>IF(HLOOKUP($B12,$W$6:$AD$35,23,FALSE)=0,"",HLOOKUP($B12,$W$6:$AD$35,23,FALSE))</f>
        <v/>
      </c>
      <c r="M14" s="15" t="str">
        <f>IF(HLOOKUP($B12,$W$6:$AD$35,25,FALSE)=0,"",HLOOKUP($B12,$W$6:$AD$35,25,FALSE))</f>
        <v/>
      </c>
      <c r="N14" s="15" t="str">
        <f>IF(HLOOKUP($B12,$W$6:$AD$35,27,FALSE)=0,"",HLOOKUP($B12,$W$6:$AD$35,27,FALSE))</f>
        <v/>
      </c>
      <c r="O14" s="16" t="str">
        <f>IF(HLOOKUP($B12,$W$6:$AD$35,29,FALSE)=0,"",HLOOKUP($B12,$W$6:$AD$35,29,FALSE))</f>
        <v/>
      </c>
      <c r="P14" s="508"/>
      <c r="Q14" s="506"/>
      <c r="V14" s="4">
        <v>4</v>
      </c>
      <c r="W14" s="26"/>
      <c r="X14" s="26"/>
      <c r="Y14" s="26"/>
      <c r="Z14" s="26"/>
      <c r="AA14" s="26"/>
      <c r="AB14" s="26"/>
      <c r="AC14" s="26"/>
      <c r="AD14" s="26"/>
    </row>
    <row r="15" spans="1:30" ht="13.5" customHeight="1">
      <c r="A15" s="495"/>
      <c r="B15" s="489"/>
      <c r="C15" s="486"/>
      <c r="D15" s="483"/>
      <c r="E15" s="483"/>
      <c r="F15" s="497"/>
      <c r="G15" s="14" t="str">
        <f>IF(HLOOKUP($B12,$W$6:$AD$35,8,FALSE)=0,"",HLOOKUP($B12,$W$6:$AD$35,8,FALSE))</f>
        <v/>
      </c>
      <c r="H15" s="15" t="str">
        <f>IF(HLOOKUP($B12,$W$6:$AD$35,13,FALSE)=0,"",HLOOKUP($B12,$W$6:$AD$35,13,FALSE))</f>
        <v/>
      </c>
      <c r="I15" s="18"/>
      <c r="J15" s="18"/>
      <c r="K15" s="18"/>
      <c r="L15" s="18"/>
      <c r="M15" s="18"/>
      <c r="N15" s="18"/>
      <c r="O15" s="19"/>
      <c r="P15" s="508"/>
      <c r="Q15" s="506"/>
      <c r="V15" s="4">
        <v>5</v>
      </c>
      <c r="W15" s="26"/>
      <c r="X15" s="26"/>
      <c r="Y15" s="26"/>
      <c r="Z15" s="26"/>
      <c r="AA15" s="26"/>
      <c r="AB15" s="26"/>
      <c r="AC15" s="26"/>
      <c r="AD15" s="26"/>
    </row>
    <row r="16" spans="1:30" ht="13.5" customHeight="1">
      <c r="A16" s="495"/>
      <c r="B16" s="489"/>
      <c r="C16" s="486"/>
      <c r="D16" s="483"/>
      <c r="E16" s="483"/>
      <c r="F16" s="497"/>
      <c r="G16" s="14" t="str">
        <f>IF(HLOOKUP($B12,$W$6:$AD$35,9,FALSE)=0,"",HLOOKUP($B12,$W$6:$AD$35,9,FALSE))</f>
        <v/>
      </c>
      <c r="H16" s="15" t="str">
        <f>IF(HLOOKUP($B12,$W$6:$AD$35,14,FALSE)=0,"",HLOOKUP($B12,$W$6:$AD$35,14,FALSE))</f>
        <v/>
      </c>
      <c r="I16" s="20"/>
      <c r="J16" s="20"/>
      <c r="K16" s="20"/>
      <c r="L16" s="20"/>
      <c r="M16" s="20"/>
      <c r="N16" s="20"/>
      <c r="O16" s="21"/>
      <c r="P16" s="508"/>
      <c r="Q16" s="506"/>
      <c r="V16" s="4">
        <v>6</v>
      </c>
      <c r="W16" s="26"/>
      <c r="X16" s="26"/>
      <c r="Y16" s="26"/>
      <c r="Z16" s="26"/>
      <c r="AA16" s="26"/>
      <c r="AB16" s="26"/>
      <c r="AC16" s="26"/>
      <c r="AD16" s="26"/>
    </row>
    <row r="17" spans="1:30" ht="13.5" customHeight="1" thickBot="1">
      <c r="A17" s="495"/>
      <c r="B17" s="490"/>
      <c r="C17" s="487"/>
      <c r="D17" s="484"/>
      <c r="E17" s="484"/>
      <c r="F17" s="498"/>
      <c r="G17" s="22" t="str">
        <f>IF(HLOOKUP($B12,$W$6:$AD$35,10,FALSE)=0,"",HLOOKUP($B12,$W$6:$AD$35,10,FALSE))</f>
        <v/>
      </c>
      <c r="H17" s="23" t="str">
        <f>IF(HLOOKUP($B12,$W$6:$AD$35,15,FALSE)=0,"",HLOOKUP($B12,$W$6:$AD$35,15,FALSE))</f>
        <v/>
      </c>
      <c r="I17" s="24"/>
      <c r="J17" s="24"/>
      <c r="K17" s="24"/>
      <c r="L17" s="24"/>
      <c r="M17" s="24"/>
      <c r="N17" s="24"/>
      <c r="O17" s="25"/>
      <c r="P17" s="509"/>
      <c r="Q17" s="501"/>
      <c r="V17" s="4">
        <v>7</v>
      </c>
      <c r="W17" s="26"/>
      <c r="X17" s="26"/>
      <c r="Y17" s="26"/>
      <c r="Z17" s="26"/>
      <c r="AA17" s="26"/>
      <c r="AB17" s="26"/>
      <c r="AC17" s="26"/>
      <c r="AD17" s="26"/>
    </row>
    <row r="18" spans="1:30" ht="13.5" customHeight="1" thickBot="1">
      <c r="A18" s="495">
        <v>3</v>
      </c>
      <c r="B18" s="488">
        <f>SMALL($W$6:$AD$6,A18)</f>
        <v>1.0000006272254744</v>
      </c>
      <c r="C18" s="485" t="str">
        <f>HLOOKUP($B18,$W$6:$AD$35,2,FALSE)</f>
        <v>C</v>
      </c>
      <c r="D18" s="482">
        <f>HLOOKUP($B18,$W$6:$AD$35,3,FALSE)</f>
        <v>0</v>
      </c>
      <c r="E18" s="482">
        <f>HLOOKUP($B18,$W$6:$AD$35,4,FALSE)</f>
        <v>0</v>
      </c>
      <c r="F18" s="496">
        <f>HLOOKUP($B18,$W$6:$AD$35,5,FALSE)</f>
        <v>0</v>
      </c>
      <c r="G18" s="10" t="str">
        <f t="shared" ref="G18:O18" si="3">IF(G19="","",SUM(G19:G23))</f>
        <v/>
      </c>
      <c r="H18" s="11" t="str">
        <f t="shared" si="3"/>
        <v/>
      </c>
      <c r="I18" s="11" t="str">
        <f t="shared" si="3"/>
        <v/>
      </c>
      <c r="J18" s="11" t="str">
        <f t="shared" si="3"/>
        <v/>
      </c>
      <c r="K18" s="11" t="str">
        <f t="shared" si="3"/>
        <v/>
      </c>
      <c r="L18" s="11" t="str">
        <f t="shared" si="3"/>
        <v/>
      </c>
      <c r="M18" s="11" t="str">
        <f t="shared" si="3"/>
        <v/>
      </c>
      <c r="N18" s="11" t="str">
        <f t="shared" si="3"/>
        <v/>
      </c>
      <c r="O18" s="12" t="str">
        <f t="shared" si="3"/>
        <v/>
      </c>
      <c r="P18" s="507">
        <f>SUM(G18:O18)</f>
        <v>0</v>
      </c>
      <c r="Q18" s="505">
        <f>P12-P18</f>
        <v>0</v>
      </c>
      <c r="V18" s="4">
        <v>8</v>
      </c>
      <c r="W18" s="26"/>
      <c r="X18" s="26"/>
      <c r="Y18" s="26"/>
      <c r="Z18" s="26"/>
      <c r="AA18" s="26"/>
      <c r="AB18" s="26"/>
      <c r="AC18" s="26"/>
      <c r="AD18" s="26"/>
    </row>
    <row r="19" spans="1:30" ht="13.5" customHeight="1">
      <c r="A19" s="495"/>
      <c r="B19" s="489"/>
      <c r="C19" s="486"/>
      <c r="D19" s="522"/>
      <c r="E19" s="483"/>
      <c r="F19" s="497"/>
      <c r="G19" s="14" t="str">
        <f>IF(HLOOKUP($B18,$W$6:$AD$35,6,FALSE)=0,"",HLOOKUP($B18,$W$6:$AD$35,6,FALSE))</f>
        <v/>
      </c>
      <c r="H19" s="15" t="str">
        <f>IF(HLOOKUP($B18,$W$6:$AD$35,11,FALSE)=0,"",HLOOKUP($B18,$W$6:$AD$35,11,FALSE))</f>
        <v/>
      </c>
      <c r="I19" s="15" t="str">
        <f>IF(HLOOKUP($B18,$W$6:$AD$35,16,FALSE)=0,"",HLOOKUP($B18,$W$6:$AD$35,16,FALSE))</f>
        <v/>
      </c>
      <c r="J19" s="15" t="str">
        <f>IF(HLOOKUP($B18,$W$6:$AD$35,18,FALSE)=0,"",HLOOKUP($B18,$W$6:$AD$35,18,FALSE))</f>
        <v/>
      </c>
      <c r="K19" s="15" t="str">
        <f>IF(HLOOKUP($B18,$W$6:$AD$35,20,FALSE)=0,"",HLOOKUP($B18,$W$6:$AD$35,20,FALSE))</f>
        <v/>
      </c>
      <c r="L19" s="15" t="str">
        <f>IF(HLOOKUP($B18,$W$6:$AD$35,22,FALSE)=0,"",HLOOKUP($B18,$W$6:$AD$35,22,FALSE))</f>
        <v/>
      </c>
      <c r="M19" s="15" t="str">
        <f>IF(HLOOKUP($B18,$W$6:$AD$35,24,FALSE)=0,"",HLOOKUP($B18,$W$6:$AD$35,24,FALSE))</f>
        <v/>
      </c>
      <c r="N19" s="15" t="str">
        <f>IF(HLOOKUP($B18,$W$6:$AD$35,26,FALSE)=0,"",HLOOKUP($B18,$W$6:$AD$35,26,FALSE))</f>
        <v/>
      </c>
      <c r="O19" s="16" t="str">
        <f>IF(HLOOKUP($B18,$W$6:$AD$35,28,FALSE)=0,"",HLOOKUP($B18,$W$6:$AD$35,28,FALSE))</f>
        <v/>
      </c>
      <c r="P19" s="508"/>
      <c r="Q19" s="506"/>
      <c r="V19" s="4">
        <v>9</v>
      </c>
      <c r="W19" s="26"/>
      <c r="X19" s="26"/>
      <c r="Y19" s="26"/>
      <c r="Z19" s="26"/>
      <c r="AA19" s="26"/>
      <c r="AB19" s="26"/>
      <c r="AC19" s="26"/>
      <c r="AD19" s="26"/>
    </row>
    <row r="20" spans="1:30" ht="13.5" customHeight="1">
      <c r="A20" s="495"/>
      <c r="B20" s="489"/>
      <c r="C20" s="486"/>
      <c r="D20" s="483"/>
      <c r="E20" s="483"/>
      <c r="F20" s="497"/>
      <c r="G20" s="14" t="str">
        <f>IF(HLOOKUP($B18,$W$6:$AD$35,7,FALSE)=0,"",HLOOKUP($B18,$W$6:$AD$35,7,FALSE))</f>
        <v/>
      </c>
      <c r="H20" s="15" t="str">
        <f>IF(HLOOKUP($B18,$W$6:$AD$35,12,FALSE)=0,"",HLOOKUP($B18,$W$6:$AD$35,12,FALSE))</f>
        <v/>
      </c>
      <c r="I20" s="15" t="str">
        <f>IF(HLOOKUP($B18,$W$6:$AD$35,17,FALSE)=0,"",HLOOKUP($B18,$W$6:$AD$35,17,FALSE))</f>
        <v/>
      </c>
      <c r="J20" s="15" t="str">
        <f>IF(HLOOKUP($B18,$W$6:$AD$35,19,FALSE)=0,"",HLOOKUP($B18,$W$6:$AD$35,19,FALSE))</f>
        <v/>
      </c>
      <c r="K20" s="15" t="str">
        <f>IF(HLOOKUP($B18,$W$6:$AD$35,21,FALSE)=0,"",HLOOKUP($B18,$W$6:$AD$35,21,FALSE))</f>
        <v/>
      </c>
      <c r="L20" s="15" t="str">
        <f>IF(HLOOKUP($B18,$W$6:$AD$35,23,FALSE)=0,"",HLOOKUP($B18,$W$6:$AD$35,23,FALSE))</f>
        <v/>
      </c>
      <c r="M20" s="15" t="str">
        <f>IF(HLOOKUP($B18,$W$6:$AD$35,25,FALSE)=0,"",HLOOKUP($B18,$W$6:$AD$35,25,FALSE))</f>
        <v/>
      </c>
      <c r="N20" s="15" t="str">
        <f>IF(HLOOKUP($B18,$W$6:$AD$35,27,FALSE)=0,"",HLOOKUP($B18,$W$6:$AD$35,27,FALSE))</f>
        <v/>
      </c>
      <c r="O20" s="16" t="str">
        <f>IF(HLOOKUP($B18,$W$6:$AD$35,29,FALSE)=0,"",HLOOKUP($B18,$W$6:$AD$35,29,FALSE))</f>
        <v/>
      </c>
      <c r="P20" s="508"/>
      <c r="Q20" s="506"/>
      <c r="V20" s="4">
        <v>10</v>
      </c>
      <c r="W20" s="26"/>
      <c r="X20" s="26"/>
      <c r="Y20" s="26"/>
      <c r="Z20" s="26"/>
      <c r="AA20" s="26"/>
      <c r="AB20" s="26"/>
      <c r="AC20" s="26"/>
      <c r="AD20" s="26"/>
    </row>
    <row r="21" spans="1:30" ht="13.5" customHeight="1">
      <c r="A21" s="495"/>
      <c r="B21" s="489"/>
      <c r="C21" s="486"/>
      <c r="D21" s="483"/>
      <c r="E21" s="483"/>
      <c r="F21" s="497"/>
      <c r="G21" s="14" t="str">
        <f>IF(HLOOKUP($B18,$W$6:$AD$35,8,FALSE)=0,"",HLOOKUP($B18,$W$6:$AD$35,8,FALSE))</f>
        <v/>
      </c>
      <c r="H21" s="15" t="str">
        <f>IF(HLOOKUP($B18,$W$6:$AD$35,13,FALSE)=0,"",HLOOKUP($B18,$W$6:$AD$35,13,FALSE))</f>
        <v/>
      </c>
      <c r="I21" s="18"/>
      <c r="J21" s="18"/>
      <c r="K21" s="18"/>
      <c r="L21" s="18"/>
      <c r="M21" s="18"/>
      <c r="N21" s="18"/>
      <c r="O21" s="19"/>
      <c r="P21" s="508"/>
      <c r="Q21" s="506"/>
      <c r="V21" s="4">
        <v>11</v>
      </c>
      <c r="W21" s="26"/>
      <c r="X21" s="26"/>
      <c r="Y21" s="26"/>
      <c r="Z21" s="26"/>
      <c r="AA21" s="26"/>
      <c r="AB21" s="26"/>
      <c r="AC21" s="26"/>
      <c r="AD21" s="26"/>
    </row>
    <row r="22" spans="1:30" ht="13.5" customHeight="1">
      <c r="A22" s="495"/>
      <c r="B22" s="489"/>
      <c r="C22" s="486"/>
      <c r="D22" s="483"/>
      <c r="E22" s="483"/>
      <c r="F22" s="497"/>
      <c r="G22" s="14" t="str">
        <f>IF(HLOOKUP($B18,$W$6:$AD$35,9,FALSE)=0,"",HLOOKUP($B18,$W$6:$AD$35,9,FALSE))</f>
        <v/>
      </c>
      <c r="H22" s="15" t="str">
        <f>IF(HLOOKUP($B18,$W$6:$AD$35,14,FALSE)=0,"",HLOOKUP($B18,$W$6:$AD$35,14,FALSE))</f>
        <v/>
      </c>
      <c r="I22" s="20"/>
      <c r="J22" s="20"/>
      <c r="K22" s="20"/>
      <c r="L22" s="20"/>
      <c r="M22" s="20"/>
      <c r="N22" s="20"/>
      <c r="O22" s="21"/>
      <c r="P22" s="508"/>
      <c r="Q22" s="506"/>
      <c r="V22" s="4">
        <v>12</v>
      </c>
      <c r="W22" s="26"/>
      <c r="X22" s="26"/>
      <c r="Y22" s="26"/>
      <c r="Z22" s="26"/>
      <c r="AA22" s="26"/>
      <c r="AB22" s="26"/>
      <c r="AC22" s="26"/>
      <c r="AD22" s="26"/>
    </row>
    <row r="23" spans="1:30" ht="13.5" customHeight="1" thickBot="1">
      <c r="A23" s="495"/>
      <c r="B23" s="490"/>
      <c r="C23" s="487"/>
      <c r="D23" s="484"/>
      <c r="E23" s="484"/>
      <c r="F23" s="498"/>
      <c r="G23" s="22" t="str">
        <f>IF(HLOOKUP($B18,$W$6:$AD$35,10,FALSE)=0,"",HLOOKUP($B18,$W$6:$AD$35,10,FALSE))</f>
        <v/>
      </c>
      <c r="H23" s="23" t="str">
        <f>IF(HLOOKUP($B18,$W$6:$AD$35,15,FALSE)=0,"",HLOOKUP($B18,$W$6:$AD$35,15,FALSE))</f>
        <v/>
      </c>
      <c r="I23" s="24"/>
      <c r="J23" s="24"/>
      <c r="K23" s="24"/>
      <c r="L23" s="24"/>
      <c r="M23" s="24"/>
      <c r="N23" s="24"/>
      <c r="O23" s="25"/>
      <c r="P23" s="509"/>
      <c r="Q23" s="501"/>
      <c r="V23" s="4">
        <v>13</v>
      </c>
      <c r="W23" s="26"/>
      <c r="X23" s="26"/>
      <c r="Y23" s="26"/>
      <c r="Z23" s="26"/>
      <c r="AA23" s="26"/>
      <c r="AB23" s="26"/>
      <c r="AC23" s="26"/>
      <c r="AD23" s="26"/>
    </row>
    <row r="24" spans="1:30" ht="13.5" customHeight="1" thickBot="1">
      <c r="A24" s="495">
        <v>4</v>
      </c>
      <c r="B24" s="488">
        <f>SMALL($W$6:$AD$6,A24)</f>
        <v>1.0000008363006325</v>
      </c>
      <c r="C24" s="485" t="str">
        <f>HLOOKUP($B24,$W$6:$AD$35,2,FALSE)</f>
        <v>D</v>
      </c>
      <c r="D24" s="482">
        <f>HLOOKUP($B24,$W$6:$AD$35,3,FALSE)</f>
        <v>0</v>
      </c>
      <c r="E24" s="482">
        <f>HLOOKUP($B24,$W$6:$AD$35,4,FALSE)</f>
        <v>0</v>
      </c>
      <c r="F24" s="496">
        <f>HLOOKUP($B24,$W$6:$AD$35,5,FALSE)</f>
        <v>0</v>
      </c>
      <c r="G24" s="10" t="str">
        <f t="shared" ref="G24:O24" si="4">IF(G25="","",SUM(G25:G29))</f>
        <v/>
      </c>
      <c r="H24" s="11" t="str">
        <f t="shared" si="4"/>
        <v/>
      </c>
      <c r="I24" s="11" t="str">
        <f t="shared" si="4"/>
        <v/>
      </c>
      <c r="J24" s="11" t="str">
        <f t="shared" si="4"/>
        <v/>
      </c>
      <c r="K24" s="11" t="str">
        <f t="shared" si="4"/>
        <v/>
      </c>
      <c r="L24" s="11" t="str">
        <f t="shared" si="4"/>
        <v/>
      </c>
      <c r="M24" s="11" t="str">
        <f t="shared" si="4"/>
        <v/>
      </c>
      <c r="N24" s="11" t="str">
        <f t="shared" si="4"/>
        <v/>
      </c>
      <c r="O24" s="12" t="str">
        <f t="shared" si="4"/>
        <v/>
      </c>
      <c r="P24" s="507">
        <f>SUM(G24:O24)</f>
        <v>0</v>
      </c>
      <c r="Q24" s="505">
        <f>P18-P24</f>
        <v>0</v>
      </c>
      <c r="V24" s="4">
        <v>14</v>
      </c>
      <c r="W24" s="26"/>
      <c r="X24" s="26"/>
      <c r="Y24" s="26"/>
      <c r="Z24" s="26"/>
      <c r="AA24" s="26"/>
      <c r="AB24" s="26"/>
      <c r="AC24" s="26"/>
      <c r="AD24" s="26"/>
    </row>
    <row r="25" spans="1:30" ht="13.5" customHeight="1">
      <c r="A25" s="495"/>
      <c r="B25" s="489"/>
      <c r="C25" s="486"/>
      <c r="D25" s="483"/>
      <c r="E25" s="483"/>
      <c r="F25" s="497"/>
      <c r="G25" s="14" t="str">
        <f>IF(HLOOKUP($B24,$W$6:$AD$35,6,FALSE)=0,"",HLOOKUP($B24,$W$6:$AD$35,6,FALSE))</f>
        <v/>
      </c>
      <c r="H25" s="15" t="str">
        <f>IF(HLOOKUP($B24,$W$6:$AD$35,11,FALSE)=0,"",HLOOKUP($B24,$W$6:$AD$35,11,FALSE))</f>
        <v/>
      </c>
      <c r="I25" s="15" t="str">
        <f>IF(HLOOKUP($B24,$W$6:$AD$35,16,FALSE)=0,"",HLOOKUP($B24,$W$6:$AD$35,16,FALSE))</f>
        <v/>
      </c>
      <c r="J25" s="15" t="str">
        <f>IF(HLOOKUP($B24,$W$6:$AD$35,18,FALSE)=0,"",HLOOKUP($B24,$W$6:$AD$35,18,FALSE))</f>
        <v/>
      </c>
      <c r="K25" s="15" t="str">
        <f>IF(HLOOKUP($B24,$W$6:$AD$35,20,FALSE)=0,"",HLOOKUP($B24,$W$6:$AD$35,20,FALSE))</f>
        <v/>
      </c>
      <c r="L25" s="15" t="str">
        <f>IF(HLOOKUP($B24,$W$6:$AD$35,22,FALSE)=0,"",HLOOKUP($B24,$W$6:$AD$35,22,FALSE))</f>
        <v/>
      </c>
      <c r="M25" s="15" t="str">
        <f>IF(HLOOKUP($B24,$W$6:$AD$35,24,FALSE)=0,"",HLOOKUP($B24,$W$6:$AD$35,24,FALSE))</f>
        <v/>
      </c>
      <c r="N25" s="15" t="str">
        <f>IF(HLOOKUP($B24,$W$6:$AD$35,26,FALSE)=0,"",HLOOKUP($B24,$W$6:$AD$35,26,FALSE))</f>
        <v/>
      </c>
      <c r="O25" s="16" t="str">
        <f>IF(HLOOKUP($B24,$W$6:$AD$35,28,FALSE)=0,"",HLOOKUP($B24,$W$6:$AD$35,28,FALSE))</f>
        <v/>
      </c>
      <c r="P25" s="508"/>
      <c r="Q25" s="506"/>
      <c r="V25" s="4">
        <v>15</v>
      </c>
      <c r="W25" s="26"/>
      <c r="X25" s="26"/>
      <c r="Y25" s="26"/>
      <c r="Z25" s="26"/>
      <c r="AA25" s="26"/>
      <c r="AB25" s="26"/>
      <c r="AC25" s="26"/>
      <c r="AD25" s="26"/>
    </row>
    <row r="26" spans="1:30" ht="13.5" customHeight="1">
      <c r="A26" s="495"/>
      <c r="B26" s="489"/>
      <c r="C26" s="486"/>
      <c r="D26" s="483"/>
      <c r="E26" s="483"/>
      <c r="F26" s="497"/>
      <c r="G26" s="14" t="str">
        <f>IF(HLOOKUP($B24,$W$6:$AD$35,7,FALSE)=0,"",HLOOKUP($B24,$W$6:$AD$35,7,FALSE))</f>
        <v/>
      </c>
      <c r="H26" s="15" t="str">
        <f>IF(HLOOKUP($B24,$W$6:$AD$35,12,FALSE)=0,"",HLOOKUP($B24,$W$6:$AD$35,12,FALSE))</f>
        <v/>
      </c>
      <c r="I26" s="15" t="str">
        <f>IF(HLOOKUP($B24,$W$6:$AD$35,17,FALSE)=0,"",HLOOKUP($B24,$W$6:$AD$35,17,FALSE))</f>
        <v/>
      </c>
      <c r="J26" s="15" t="str">
        <f>IF(HLOOKUP($B24,$W$6:$AD$35,19,FALSE)=0,"",HLOOKUP($B24,$W$6:$AD$35,19,FALSE))</f>
        <v/>
      </c>
      <c r="K26" s="15" t="str">
        <f>IF(HLOOKUP($B24,$W$6:$AD$35,21,FALSE)=0,"",HLOOKUP($B24,$W$6:$AD$35,21,FALSE))</f>
        <v/>
      </c>
      <c r="L26" s="15" t="str">
        <f>IF(HLOOKUP($B24,$W$6:$AD$35,23,FALSE)=0,"",HLOOKUP($B24,$W$6:$AD$35,23,FALSE))</f>
        <v/>
      </c>
      <c r="M26" s="15" t="str">
        <f>IF(HLOOKUP($B24,$W$6:$AD$35,25,FALSE)=0,"",HLOOKUP($B24,$W$6:$AD$35,25,FALSE))</f>
        <v/>
      </c>
      <c r="N26" s="15" t="str">
        <f>IF(HLOOKUP($B24,$W$6:$AD$35,27,FALSE)=0,"",HLOOKUP($B24,$W$6:$AD$35,27,FALSE))</f>
        <v/>
      </c>
      <c r="O26" s="16" t="str">
        <f>IF(HLOOKUP($B24,$W$6:$AD$35,29,FALSE)=0,"",HLOOKUP($B24,$W$6:$AD$35,29,FALSE))</f>
        <v/>
      </c>
      <c r="P26" s="508"/>
      <c r="Q26" s="506"/>
      <c r="V26" s="4">
        <v>16</v>
      </c>
      <c r="W26" s="26"/>
      <c r="X26" s="26"/>
      <c r="Y26" s="26"/>
      <c r="Z26" s="26"/>
      <c r="AA26" s="26"/>
      <c r="AB26" s="26"/>
      <c r="AC26" s="26"/>
      <c r="AD26" s="26"/>
    </row>
    <row r="27" spans="1:30" ht="13.5" customHeight="1">
      <c r="A27" s="495"/>
      <c r="B27" s="489"/>
      <c r="C27" s="486"/>
      <c r="D27" s="483"/>
      <c r="E27" s="483"/>
      <c r="F27" s="497"/>
      <c r="G27" s="14" t="str">
        <f>IF(HLOOKUP($B24,$W$6:$AD$35,8,FALSE)=0,"",HLOOKUP($B24,$W$6:$AD$35,8,FALSE))</f>
        <v/>
      </c>
      <c r="H27" s="15" t="str">
        <f>IF(HLOOKUP($B24,$W$6:$AD$35,13,FALSE)=0,"",HLOOKUP($B24,$W$6:$AD$35,13,FALSE))</f>
        <v/>
      </c>
      <c r="I27" s="18"/>
      <c r="J27" s="18"/>
      <c r="K27" s="18"/>
      <c r="L27" s="18"/>
      <c r="M27" s="18"/>
      <c r="N27" s="18"/>
      <c r="O27" s="19"/>
      <c r="P27" s="508"/>
      <c r="Q27" s="506"/>
      <c r="V27" s="4">
        <v>17</v>
      </c>
      <c r="W27" s="26"/>
      <c r="X27" s="26"/>
      <c r="Y27" s="26"/>
      <c r="Z27" s="26"/>
      <c r="AA27" s="26"/>
      <c r="AB27" s="26"/>
      <c r="AC27" s="26"/>
      <c r="AD27" s="26"/>
    </row>
    <row r="28" spans="1:30" ht="13.5" customHeight="1">
      <c r="A28" s="495"/>
      <c r="B28" s="489"/>
      <c r="C28" s="486"/>
      <c r="D28" s="483"/>
      <c r="E28" s="483"/>
      <c r="F28" s="497"/>
      <c r="G28" s="14" t="str">
        <f>IF(HLOOKUP($B24,$W$6:$AD$35,9,FALSE)=0,"",HLOOKUP($B24,$W$6:$AD$35,9,FALSE))</f>
        <v/>
      </c>
      <c r="H28" s="15" t="str">
        <f>IF(HLOOKUP($B24,$W$6:$AD$35,14,FALSE)=0,"",HLOOKUP($B24,$W$6:$AD$35,14,FALSE))</f>
        <v/>
      </c>
      <c r="I28" s="20"/>
      <c r="J28" s="20"/>
      <c r="K28" s="20"/>
      <c r="L28" s="20"/>
      <c r="M28" s="20"/>
      <c r="N28" s="20"/>
      <c r="O28" s="21"/>
      <c r="P28" s="508"/>
      <c r="Q28" s="506"/>
      <c r="V28" s="4">
        <v>18</v>
      </c>
      <c r="W28" s="26"/>
      <c r="X28" s="26"/>
      <c r="Y28" s="26"/>
      <c r="Z28" s="26"/>
      <c r="AA28" s="26"/>
      <c r="AB28" s="26"/>
      <c r="AC28" s="26"/>
      <c r="AD28" s="26"/>
    </row>
    <row r="29" spans="1:30" ht="13.5" customHeight="1" thickBot="1">
      <c r="A29" s="495"/>
      <c r="B29" s="490"/>
      <c r="C29" s="487"/>
      <c r="D29" s="484"/>
      <c r="E29" s="484"/>
      <c r="F29" s="498"/>
      <c r="G29" s="22" t="str">
        <f>IF(HLOOKUP($B24,$W$6:$AD$35,10,FALSE)=0,"",HLOOKUP($B24,$W$6:$AD$35,10,FALSE))</f>
        <v/>
      </c>
      <c r="H29" s="23" t="str">
        <f>IF(HLOOKUP($B24,$W$6:$AD$35,15,FALSE)=0,"",HLOOKUP($B24,$W$6:$AD$35,15,FALSE))</f>
        <v/>
      </c>
      <c r="I29" s="24"/>
      <c r="J29" s="24"/>
      <c r="K29" s="24"/>
      <c r="L29" s="24"/>
      <c r="M29" s="24"/>
      <c r="N29" s="24"/>
      <c r="O29" s="25"/>
      <c r="P29" s="509"/>
      <c r="Q29" s="501"/>
      <c r="V29" s="4">
        <v>19</v>
      </c>
      <c r="W29" s="26"/>
      <c r="X29" s="26"/>
      <c r="Y29" s="26"/>
      <c r="Z29" s="26"/>
      <c r="AA29" s="26"/>
      <c r="AB29" s="26"/>
      <c r="AC29" s="26"/>
      <c r="AD29" s="26"/>
    </row>
    <row r="30" spans="1:30" ht="13.5" customHeight="1" thickBot="1">
      <c r="A30" s="495">
        <v>5</v>
      </c>
      <c r="B30" s="488">
        <f>SMALL($W$6:$AD$6,A30)</f>
        <v>1.0000010453757906</v>
      </c>
      <c r="C30" s="485" t="str">
        <f>HLOOKUP($B30,$W$6:$AD$35,2,FALSE)</f>
        <v>E</v>
      </c>
      <c r="D30" s="482">
        <f>HLOOKUP($B30,$W$6:$AD$35,3,FALSE)</f>
        <v>0</v>
      </c>
      <c r="E30" s="482">
        <f>HLOOKUP($B30,$W$6:$AD$35,4,FALSE)</f>
        <v>0</v>
      </c>
      <c r="F30" s="496">
        <f>HLOOKUP($B30,$W$6:$AD$35,5,FALSE)</f>
        <v>0</v>
      </c>
      <c r="G30" s="10" t="str">
        <f t="shared" ref="G30:O30" si="5">IF(G31="","",SUM(G31:G35))</f>
        <v/>
      </c>
      <c r="H30" s="11" t="str">
        <f t="shared" si="5"/>
        <v/>
      </c>
      <c r="I30" s="11" t="str">
        <f t="shared" si="5"/>
        <v/>
      </c>
      <c r="J30" s="11" t="str">
        <f t="shared" si="5"/>
        <v/>
      </c>
      <c r="K30" s="11" t="str">
        <f t="shared" si="5"/>
        <v/>
      </c>
      <c r="L30" s="11" t="str">
        <f t="shared" si="5"/>
        <v/>
      </c>
      <c r="M30" s="11" t="str">
        <f t="shared" si="5"/>
        <v/>
      </c>
      <c r="N30" s="11" t="str">
        <f t="shared" si="5"/>
        <v/>
      </c>
      <c r="O30" s="12" t="str">
        <f t="shared" si="5"/>
        <v/>
      </c>
      <c r="P30" s="507">
        <f>SUM(G30:O30)</f>
        <v>0</v>
      </c>
      <c r="Q30" s="505">
        <f>P24-P30</f>
        <v>0</v>
      </c>
      <c r="V30" s="4">
        <v>20</v>
      </c>
      <c r="W30" s="26"/>
      <c r="X30" s="26"/>
      <c r="Y30" s="26"/>
      <c r="Z30" s="26"/>
      <c r="AA30" s="26"/>
      <c r="AB30" s="26"/>
      <c r="AC30" s="26"/>
      <c r="AD30" s="26"/>
    </row>
    <row r="31" spans="1:30" ht="13.5" customHeight="1">
      <c r="A31" s="495"/>
      <c r="B31" s="489"/>
      <c r="C31" s="486"/>
      <c r="D31" s="483"/>
      <c r="E31" s="483"/>
      <c r="F31" s="497"/>
      <c r="G31" s="14" t="str">
        <f>IF(HLOOKUP($B30,$W$6:$AD$35,6,FALSE)=0,"",HLOOKUP($B30,$W$6:$AD$35,6,FALSE))</f>
        <v/>
      </c>
      <c r="H31" s="15" t="str">
        <f>IF(HLOOKUP($B30,$W$6:$AD$35,11,FALSE)=0,"",HLOOKUP($B30,$W$6:$AD$35,11,FALSE))</f>
        <v/>
      </c>
      <c r="I31" s="15" t="str">
        <f>IF(HLOOKUP($B30,$W$6:$AD$35,16,FALSE)=0,"",HLOOKUP($B30,$W$6:$AD$35,16,FALSE))</f>
        <v/>
      </c>
      <c r="J31" s="15" t="str">
        <f>IF(HLOOKUP($B30,$W$6:$AD$35,18,FALSE)=0,"",HLOOKUP($B30,$W$6:$AD$35,18,FALSE))</f>
        <v/>
      </c>
      <c r="K31" s="15" t="str">
        <f>IF(HLOOKUP($B30,$W$6:$AD$35,20,FALSE)=0,"",HLOOKUP($B30,$W$6:$AD$35,20,FALSE))</f>
        <v/>
      </c>
      <c r="L31" s="15" t="str">
        <f>IF(HLOOKUP($B30,$W$6:$AD$35,22,FALSE)=0,"",HLOOKUP($B30,$W$6:$AD$35,22,FALSE))</f>
        <v/>
      </c>
      <c r="M31" s="15" t="str">
        <f>IF(HLOOKUP($B30,$W$6:$AD$35,24,FALSE)=0,"",HLOOKUP($B30,$W$6:$AD$35,24,FALSE))</f>
        <v/>
      </c>
      <c r="N31" s="15" t="str">
        <f>IF(HLOOKUP($B30,$W$6:$AD$35,26,FALSE)=0,"",HLOOKUP($B30,$W$6:$AD$35,26,FALSE))</f>
        <v/>
      </c>
      <c r="O31" s="16" t="str">
        <f>IF(HLOOKUP($B30,$W$6:$AD$35,28,FALSE)=0,"",HLOOKUP($B30,$W$6:$AD$35,28,FALSE))</f>
        <v/>
      </c>
      <c r="P31" s="508"/>
      <c r="Q31" s="506"/>
      <c r="V31" s="4">
        <v>21</v>
      </c>
      <c r="W31" s="26"/>
      <c r="X31" s="26"/>
      <c r="Y31" s="26"/>
      <c r="Z31" s="26"/>
      <c r="AA31" s="26"/>
      <c r="AB31" s="26"/>
      <c r="AC31" s="26"/>
      <c r="AD31" s="26"/>
    </row>
    <row r="32" spans="1:30" ht="13.5" customHeight="1">
      <c r="A32" s="495"/>
      <c r="B32" s="489"/>
      <c r="C32" s="486"/>
      <c r="D32" s="483"/>
      <c r="E32" s="483"/>
      <c r="F32" s="497"/>
      <c r="G32" s="14" t="str">
        <f>IF(HLOOKUP($B30,$W$6:$AD$35,7,FALSE)=0,"",HLOOKUP($B30,$W$6:$AD$35,7,FALSE))</f>
        <v/>
      </c>
      <c r="H32" s="15" t="str">
        <f>IF(HLOOKUP($B30,$W$6:$AD$35,12,FALSE)=0,"",HLOOKUP($B30,$W$6:$AD$35,12,FALSE))</f>
        <v/>
      </c>
      <c r="I32" s="15" t="str">
        <f>IF(HLOOKUP($B30,$W$6:$AD$35,17,FALSE)=0,"",HLOOKUP($B30,$W$6:$AD$35,17,FALSE))</f>
        <v/>
      </c>
      <c r="J32" s="15" t="str">
        <f>IF(HLOOKUP($B30,$W$6:$AD$35,19,FALSE)=0,"",HLOOKUP($B30,$W$6:$AD$35,19,FALSE))</f>
        <v/>
      </c>
      <c r="K32" s="15" t="str">
        <f>IF(HLOOKUP($B30,$W$6:$AD$35,21,FALSE)=0,"",HLOOKUP($B30,$W$6:$AD$35,21,FALSE))</f>
        <v/>
      </c>
      <c r="L32" s="15" t="str">
        <f>IF(HLOOKUP($B30,$W$6:$AD$35,23,FALSE)=0,"",HLOOKUP($B30,$W$6:$AD$35,23,FALSE))</f>
        <v/>
      </c>
      <c r="M32" s="15" t="str">
        <f>IF(HLOOKUP($B30,$W$6:$AD$35,25,FALSE)=0,"",HLOOKUP($B30,$W$6:$AD$35,25,FALSE))</f>
        <v/>
      </c>
      <c r="N32" s="15" t="str">
        <f>IF(HLOOKUP($B30,$W$6:$AD$35,27,FALSE)=0,"",HLOOKUP($B30,$W$6:$AD$35,27,FALSE))</f>
        <v/>
      </c>
      <c r="O32" s="16" t="str">
        <f>IF(HLOOKUP($B30,$W$6:$AD$35,29,FALSE)=0,"",HLOOKUP($B30,$W$6:$AD$35,29,FALSE))</f>
        <v/>
      </c>
      <c r="P32" s="508"/>
      <c r="Q32" s="506"/>
      <c r="V32" s="4">
        <v>22</v>
      </c>
      <c r="W32" s="26"/>
      <c r="X32" s="26"/>
      <c r="Y32" s="26"/>
      <c r="Z32" s="26"/>
      <c r="AA32" s="26"/>
      <c r="AB32" s="26"/>
      <c r="AC32" s="26"/>
      <c r="AD32" s="26"/>
    </row>
    <row r="33" spans="1:30" ht="13.5" customHeight="1">
      <c r="A33" s="495"/>
      <c r="B33" s="489"/>
      <c r="C33" s="486"/>
      <c r="D33" s="483"/>
      <c r="E33" s="483"/>
      <c r="F33" s="497"/>
      <c r="G33" s="14" t="str">
        <f>IF(HLOOKUP($B30,$W$6:$AD$35,8,FALSE)=0,"",HLOOKUP($B30,$W$6:$AD$35,8,FALSE))</f>
        <v/>
      </c>
      <c r="H33" s="15" t="str">
        <f>IF(HLOOKUP($B30,$W$6:$AD$35,13,FALSE)=0,"",HLOOKUP($B30,$W$6:$AD$35,13,FALSE))</f>
        <v/>
      </c>
      <c r="I33" s="18"/>
      <c r="J33" s="18"/>
      <c r="K33" s="18"/>
      <c r="L33" s="18"/>
      <c r="M33" s="18"/>
      <c r="N33" s="18"/>
      <c r="O33" s="19"/>
      <c r="P33" s="508"/>
      <c r="Q33" s="506"/>
      <c r="V33" s="4">
        <v>23</v>
      </c>
      <c r="W33" s="26"/>
      <c r="X33" s="26"/>
      <c r="Y33" s="26"/>
      <c r="Z33" s="26"/>
      <c r="AA33" s="26"/>
      <c r="AB33" s="26"/>
      <c r="AC33" s="26"/>
      <c r="AD33" s="26"/>
    </row>
    <row r="34" spans="1:30" ht="13.5" customHeight="1">
      <c r="A34" s="495"/>
      <c r="B34" s="489"/>
      <c r="C34" s="486"/>
      <c r="D34" s="483"/>
      <c r="E34" s="483"/>
      <c r="F34" s="497"/>
      <c r="G34" s="14" t="str">
        <f>IF(HLOOKUP($B30,$W$6:$AD$35,9,FALSE)=0,"",HLOOKUP($B30,$W$6:$AD$35,9,FALSE))</f>
        <v/>
      </c>
      <c r="H34" s="15" t="str">
        <f>IF(HLOOKUP($B30,$W$6:$AD$35,14,FALSE)=0,"",HLOOKUP($B30,$W$6:$AD$35,14,FALSE))</f>
        <v/>
      </c>
      <c r="I34" s="20"/>
      <c r="J34" s="20"/>
      <c r="K34" s="20"/>
      <c r="L34" s="20"/>
      <c r="M34" s="20"/>
      <c r="N34" s="20"/>
      <c r="O34" s="21"/>
      <c r="P34" s="508"/>
      <c r="Q34" s="506"/>
      <c r="V34" s="4">
        <v>24</v>
      </c>
      <c r="W34" s="26"/>
      <c r="X34" s="26"/>
      <c r="Y34" s="26"/>
      <c r="Z34" s="26"/>
      <c r="AA34" s="26"/>
      <c r="AB34" s="26"/>
      <c r="AC34" s="26"/>
      <c r="AD34" s="26"/>
    </row>
    <row r="35" spans="1:30" ht="13.5" customHeight="1" thickBot="1">
      <c r="A35" s="495"/>
      <c r="B35" s="490"/>
      <c r="C35" s="487"/>
      <c r="D35" s="484"/>
      <c r="E35" s="484"/>
      <c r="F35" s="498"/>
      <c r="G35" s="22" t="str">
        <f>IF(HLOOKUP($B30,$W$6:$AD$35,10,FALSE)=0,"",HLOOKUP($B30,$W$6:$AD$35,10,FALSE))</f>
        <v/>
      </c>
      <c r="H35" s="23" t="str">
        <f>IF(HLOOKUP($B30,$W$6:$AD$35,15,FALSE)=0,"",HLOOKUP($B30,$W$6:$AD$35,15,FALSE))</f>
        <v/>
      </c>
      <c r="I35" s="24"/>
      <c r="J35" s="24"/>
      <c r="K35" s="24"/>
      <c r="L35" s="24"/>
      <c r="M35" s="24"/>
      <c r="N35" s="24"/>
      <c r="O35" s="25"/>
      <c r="P35" s="509"/>
      <c r="Q35" s="501"/>
      <c r="V35" s="4" t="s">
        <v>8</v>
      </c>
      <c r="W35" s="27">
        <f>SUM(W11:W34)</f>
        <v>0</v>
      </c>
      <c r="X35" s="27">
        <f t="shared" ref="X35:AD35" si="6">SUM(X11:X34)</f>
        <v>0</v>
      </c>
      <c r="Y35" s="27">
        <f t="shared" si="6"/>
        <v>0</v>
      </c>
      <c r="Z35" s="27">
        <f t="shared" si="6"/>
        <v>0</v>
      </c>
      <c r="AA35" s="27">
        <f t="shared" si="6"/>
        <v>0</v>
      </c>
      <c r="AB35" s="27">
        <f t="shared" si="6"/>
        <v>0</v>
      </c>
      <c r="AC35" s="27">
        <f t="shared" si="6"/>
        <v>0</v>
      </c>
      <c r="AD35" s="27">
        <f t="shared" si="6"/>
        <v>0</v>
      </c>
    </row>
    <row r="36" spans="1:30" ht="13.5" customHeight="1" thickBot="1">
      <c r="A36" s="495">
        <v>6</v>
      </c>
      <c r="B36" s="488">
        <f>SMALL($W$6:$AD$6,A36)</f>
        <v>1.0000012544509487</v>
      </c>
      <c r="C36" s="485" t="str">
        <f>HLOOKUP($B36,$W$6:$AD$35,2,FALSE)</f>
        <v>F</v>
      </c>
      <c r="D36" s="482">
        <f>HLOOKUP($B36,$W$6:$AD$35,3,FALSE)</f>
        <v>0</v>
      </c>
      <c r="E36" s="482">
        <f>HLOOKUP($B36,$W$6:$AD$35,4,FALSE)</f>
        <v>0</v>
      </c>
      <c r="F36" s="496">
        <f>HLOOKUP($B36,$W$6:$AD$35,5,FALSE)</f>
        <v>0</v>
      </c>
      <c r="G36" s="10" t="str">
        <f t="shared" ref="G36:O36" si="7">IF(G37="","",SUM(G37:G41))</f>
        <v/>
      </c>
      <c r="H36" s="11" t="str">
        <f t="shared" si="7"/>
        <v/>
      </c>
      <c r="I36" s="11" t="str">
        <f t="shared" si="7"/>
        <v/>
      </c>
      <c r="J36" s="11" t="str">
        <f t="shared" si="7"/>
        <v/>
      </c>
      <c r="K36" s="11" t="str">
        <f t="shared" si="7"/>
        <v/>
      </c>
      <c r="L36" s="11" t="str">
        <f t="shared" si="7"/>
        <v/>
      </c>
      <c r="M36" s="11" t="str">
        <f t="shared" si="7"/>
        <v/>
      </c>
      <c r="N36" s="11" t="str">
        <f t="shared" si="7"/>
        <v/>
      </c>
      <c r="O36" s="12" t="str">
        <f t="shared" si="7"/>
        <v/>
      </c>
      <c r="P36" s="507">
        <f>SUM(G36:O36)</f>
        <v>0</v>
      </c>
      <c r="Q36" s="505">
        <f>P30-P36</f>
        <v>0</v>
      </c>
    </row>
    <row r="37" spans="1:30" ht="13.5" customHeight="1">
      <c r="A37" s="495"/>
      <c r="B37" s="489"/>
      <c r="C37" s="486"/>
      <c r="D37" s="483"/>
      <c r="E37" s="483"/>
      <c r="F37" s="497"/>
      <c r="G37" s="14" t="str">
        <f>IF(HLOOKUP($B36,$W$6:$AD$35,6,FALSE)=0,"",HLOOKUP($B36,$W$6:$AD$35,6,FALSE))</f>
        <v/>
      </c>
      <c r="H37" s="15" t="str">
        <f>IF(HLOOKUP($B36,$W$6:$AD$35,11,FALSE)=0,"",HLOOKUP($B36,$W$6:$AD$35,11,FALSE))</f>
        <v/>
      </c>
      <c r="I37" s="15" t="str">
        <f>IF(HLOOKUP($B36,$W$6:$AD$35,16,FALSE)=0,"",HLOOKUP($B36,$W$6:$AD$35,16,FALSE))</f>
        <v/>
      </c>
      <c r="J37" s="15" t="str">
        <f>IF(HLOOKUP($B36,$W$6:$AD$35,18,FALSE)=0,"",HLOOKUP($B36,$W$6:$AD$35,18,FALSE))</f>
        <v/>
      </c>
      <c r="K37" s="15" t="str">
        <f>IF(HLOOKUP($B36,$W$6:$AD$35,20,FALSE)=0,"",HLOOKUP($B36,$W$6:$AD$35,20,FALSE))</f>
        <v/>
      </c>
      <c r="L37" s="15" t="str">
        <f>IF(HLOOKUP($B36,$W$6:$AD$35,22,FALSE)=0,"",HLOOKUP($B36,$W$6:$AD$35,22,FALSE))</f>
        <v/>
      </c>
      <c r="M37" s="15" t="str">
        <f>IF(HLOOKUP($B36,$W$6:$AD$35,24,FALSE)=0,"",HLOOKUP($B36,$W$6:$AD$35,24,FALSE))</f>
        <v/>
      </c>
      <c r="N37" s="15" t="str">
        <f>IF(HLOOKUP($B36,$W$6:$AD$35,26,FALSE)=0,"",HLOOKUP($B36,$W$6:$AD$35,26,FALSE))</f>
        <v/>
      </c>
      <c r="O37" s="16" t="str">
        <f>IF(HLOOKUP($B36,$W$6:$AD$35,28,FALSE)=0,"",HLOOKUP($B36,$W$6:$AD$35,28,FALSE))</f>
        <v/>
      </c>
      <c r="P37" s="508"/>
      <c r="Q37" s="506"/>
    </row>
    <row r="38" spans="1:30" ht="13.5" customHeight="1">
      <c r="A38" s="495"/>
      <c r="B38" s="489"/>
      <c r="C38" s="486"/>
      <c r="D38" s="483"/>
      <c r="E38" s="483"/>
      <c r="F38" s="497"/>
      <c r="G38" s="14" t="str">
        <f>IF(HLOOKUP($B36,$W$6:$AD$35,7,FALSE)=0,"",HLOOKUP($B36,$W$6:$AD$35,7,FALSE))</f>
        <v/>
      </c>
      <c r="H38" s="15" t="str">
        <f>IF(HLOOKUP($B36,$W$6:$AD$35,12,FALSE)=0,"",HLOOKUP($B36,$W$6:$AD$35,12,FALSE))</f>
        <v/>
      </c>
      <c r="I38" s="15" t="str">
        <f>IF(HLOOKUP($B36,$W$6:$AD$35,17,FALSE)=0,"",HLOOKUP($B36,$W$6:$AD$35,17,FALSE))</f>
        <v/>
      </c>
      <c r="J38" s="15" t="str">
        <f>IF(HLOOKUP($B36,$W$6:$AD$35,19,FALSE)=0,"",HLOOKUP($B36,$W$6:$AD$35,19,FALSE))</f>
        <v/>
      </c>
      <c r="K38" s="15" t="str">
        <f>IF(HLOOKUP($B36,$W$6:$AD$35,21,FALSE)=0,"",HLOOKUP($B36,$W$6:$AD$35,21,FALSE))</f>
        <v/>
      </c>
      <c r="L38" s="15" t="str">
        <f>IF(HLOOKUP($B36,$W$6:$AD$35,23,FALSE)=0,"",HLOOKUP($B36,$W$6:$AD$35,23,FALSE))</f>
        <v/>
      </c>
      <c r="M38" s="15" t="str">
        <f>IF(HLOOKUP($B36,$W$6:$AD$35,25,FALSE)=0,"",HLOOKUP($B36,$W$6:$AD$35,25,FALSE))</f>
        <v/>
      </c>
      <c r="N38" s="15" t="str">
        <f>IF(HLOOKUP($B36,$W$6:$AD$35,27,FALSE)=0,"",HLOOKUP($B36,$W$6:$AD$35,27,FALSE))</f>
        <v/>
      </c>
      <c r="O38" s="16" t="str">
        <f>IF(HLOOKUP($B36,$W$6:$AD$35,29,FALSE)=0,"",HLOOKUP($B36,$W$6:$AD$35,29,FALSE))</f>
        <v/>
      </c>
      <c r="P38" s="508"/>
      <c r="Q38" s="506"/>
    </row>
    <row r="39" spans="1:30" ht="13.5" customHeight="1">
      <c r="A39" s="495"/>
      <c r="B39" s="489"/>
      <c r="C39" s="486"/>
      <c r="D39" s="483"/>
      <c r="E39" s="483"/>
      <c r="F39" s="497"/>
      <c r="G39" s="14" t="str">
        <f>IF(HLOOKUP($B36,$W$6:$AD$35,8,FALSE)=0,"",HLOOKUP($B36,$W$6:$AD$35,8,FALSE))</f>
        <v/>
      </c>
      <c r="H39" s="15" t="str">
        <f>IF(HLOOKUP($B36,$W$6:$AD$35,13,FALSE)=0,"",HLOOKUP($B36,$W$6:$AD$35,13,FALSE))</f>
        <v/>
      </c>
      <c r="I39" s="18"/>
      <c r="J39" s="18"/>
      <c r="K39" s="18"/>
      <c r="L39" s="18"/>
      <c r="M39" s="18"/>
      <c r="N39" s="18"/>
      <c r="O39" s="19"/>
      <c r="P39" s="508"/>
      <c r="Q39" s="506"/>
    </row>
    <row r="40" spans="1:30" ht="13.5" customHeight="1">
      <c r="A40" s="495"/>
      <c r="B40" s="489"/>
      <c r="C40" s="486"/>
      <c r="D40" s="483"/>
      <c r="E40" s="483"/>
      <c r="F40" s="497"/>
      <c r="G40" s="14" t="str">
        <f>IF(HLOOKUP($B36,$W$6:$AD$35,9,FALSE)=0,"",HLOOKUP($B36,$W$6:$AD$35,9,FALSE))</f>
        <v/>
      </c>
      <c r="H40" s="15" t="str">
        <f>IF(HLOOKUP($B36,$W$6:$AD$35,14,FALSE)=0,"",HLOOKUP($B36,$W$6:$AD$35,14,FALSE))</f>
        <v/>
      </c>
      <c r="I40" s="20"/>
      <c r="J40" s="20"/>
      <c r="K40" s="20"/>
      <c r="L40" s="20"/>
      <c r="M40" s="20"/>
      <c r="N40" s="20"/>
      <c r="O40" s="21"/>
      <c r="P40" s="508"/>
      <c r="Q40" s="506"/>
    </row>
    <row r="41" spans="1:30" ht="13.5" customHeight="1" thickBot="1">
      <c r="A41" s="495"/>
      <c r="B41" s="490"/>
      <c r="C41" s="487"/>
      <c r="D41" s="484"/>
      <c r="E41" s="484"/>
      <c r="F41" s="498"/>
      <c r="G41" s="22" t="str">
        <f>IF(HLOOKUP($B36,$W$6:$AD$35,10,FALSE)=0,"",HLOOKUP($B36,$W$6:$AD$35,10,FALSE))</f>
        <v/>
      </c>
      <c r="H41" s="23" t="str">
        <f>IF(HLOOKUP($B36,$W$6:$AD$35,15,FALSE)=0,"",HLOOKUP($B36,$W$6:$AD$35,15,FALSE))</f>
        <v/>
      </c>
      <c r="I41" s="24"/>
      <c r="J41" s="24"/>
      <c r="K41" s="24"/>
      <c r="L41" s="24"/>
      <c r="M41" s="24"/>
      <c r="N41" s="24"/>
      <c r="O41" s="25"/>
      <c r="P41" s="509"/>
      <c r="Q41" s="501"/>
    </row>
    <row r="42" spans="1:30" ht="13.5" customHeight="1" thickBot="1">
      <c r="A42" s="495">
        <v>7</v>
      </c>
      <c r="B42" s="488">
        <f>SMALL($W$6:$AD$6,A42)</f>
        <v>1.000001463526107</v>
      </c>
      <c r="C42" s="485" t="str">
        <f>HLOOKUP($B42,$W$6:$AD$35,2,FALSE)</f>
        <v>G</v>
      </c>
      <c r="D42" s="482">
        <f>HLOOKUP($B42,$W$6:$AD$35,3,FALSE)</f>
        <v>0</v>
      </c>
      <c r="E42" s="482">
        <f>HLOOKUP($B42,$W$6:$AD$35,4,FALSE)</f>
        <v>0</v>
      </c>
      <c r="F42" s="496">
        <f>HLOOKUP($B42,$W$6:$AD$35,5,FALSE)</f>
        <v>0</v>
      </c>
      <c r="G42" s="10" t="str">
        <f t="shared" ref="G42:O42" si="8">IF(G43="","",SUM(G43:G47))</f>
        <v/>
      </c>
      <c r="H42" s="11" t="str">
        <f t="shared" si="8"/>
        <v/>
      </c>
      <c r="I42" s="11" t="str">
        <f t="shared" si="8"/>
        <v/>
      </c>
      <c r="J42" s="11" t="str">
        <f t="shared" si="8"/>
        <v/>
      </c>
      <c r="K42" s="11" t="str">
        <f t="shared" si="8"/>
        <v/>
      </c>
      <c r="L42" s="11" t="str">
        <f t="shared" si="8"/>
        <v/>
      </c>
      <c r="M42" s="11" t="str">
        <f t="shared" si="8"/>
        <v/>
      </c>
      <c r="N42" s="11" t="str">
        <f t="shared" si="8"/>
        <v/>
      </c>
      <c r="O42" s="12" t="str">
        <f t="shared" si="8"/>
        <v/>
      </c>
      <c r="P42" s="507">
        <f>SUM(G42:O42)</f>
        <v>0</v>
      </c>
      <c r="Q42" s="505">
        <f>P36-P42</f>
        <v>0</v>
      </c>
    </row>
    <row r="43" spans="1:30" ht="13.5" customHeight="1">
      <c r="A43" s="495"/>
      <c r="B43" s="489"/>
      <c r="C43" s="486"/>
      <c r="D43" s="483"/>
      <c r="E43" s="483"/>
      <c r="F43" s="497"/>
      <c r="G43" s="14" t="str">
        <f>IF(HLOOKUP($B42,$W$6:$AD$35,6,FALSE)=0,"",HLOOKUP($B42,$W$6:$AD$35,6,FALSE))</f>
        <v/>
      </c>
      <c r="H43" s="15" t="str">
        <f>IF(HLOOKUP($B42,$W$6:$AD$35,11,FALSE)=0,"",HLOOKUP($B42,$W$6:$AD$35,11,FALSE))</f>
        <v/>
      </c>
      <c r="I43" s="15" t="str">
        <f>IF(HLOOKUP($B42,$W$6:$AD$35,16,FALSE)=0,"",HLOOKUP($B42,$W$6:$AD$35,16,FALSE))</f>
        <v/>
      </c>
      <c r="J43" s="15" t="str">
        <f>IF(HLOOKUP($B42,$W$6:$AD$35,18,FALSE)=0,"",HLOOKUP($B42,$W$6:$AD$35,18,FALSE))</f>
        <v/>
      </c>
      <c r="K43" s="15" t="str">
        <f>IF(HLOOKUP($B42,$W$6:$AD$35,20,FALSE)=0,"",HLOOKUP($B42,$W$6:$AD$35,20,FALSE))</f>
        <v/>
      </c>
      <c r="L43" s="15" t="str">
        <f>IF(HLOOKUP($B42,$W$6:$AD$35,22,FALSE)=0,"",HLOOKUP($B42,$W$6:$AD$35,22,FALSE))</f>
        <v/>
      </c>
      <c r="M43" s="15" t="str">
        <f>IF(HLOOKUP($B42,$W$6:$AD$35,24,FALSE)=0,"",HLOOKUP($B42,$W$6:$AD$35,24,FALSE))</f>
        <v/>
      </c>
      <c r="N43" s="15" t="str">
        <f>IF(HLOOKUP($B42,$W$6:$AD$35,26,FALSE)=0,"",HLOOKUP($B42,$W$6:$AD$35,26,FALSE))</f>
        <v/>
      </c>
      <c r="O43" s="16" t="str">
        <f>IF(HLOOKUP($B42,$W$6:$AD$35,28,FALSE)=0,"",HLOOKUP($B42,$W$6:$AD$35,28,FALSE))</f>
        <v/>
      </c>
      <c r="P43" s="508"/>
      <c r="Q43" s="506"/>
    </row>
    <row r="44" spans="1:30" ht="13.5" customHeight="1">
      <c r="A44" s="495"/>
      <c r="B44" s="489"/>
      <c r="C44" s="486"/>
      <c r="D44" s="483"/>
      <c r="E44" s="483"/>
      <c r="F44" s="497"/>
      <c r="G44" s="14" t="str">
        <f>IF(HLOOKUP($B42,$W$6:$AD$35,7,FALSE)=0,"",HLOOKUP($B42,$W$6:$AD$35,7,FALSE))</f>
        <v/>
      </c>
      <c r="H44" s="15" t="str">
        <f>IF(HLOOKUP($B42,$W$6:$AD$35,12,FALSE)=0,"",HLOOKUP($B42,$W$6:$AD$35,12,FALSE))</f>
        <v/>
      </c>
      <c r="I44" s="15" t="str">
        <f>IF(HLOOKUP($B42,$W$6:$AD$35,17,FALSE)=0,"",HLOOKUP($B42,$W$6:$AD$35,17,FALSE))</f>
        <v/>
      </c>
      <c r="J44" s="15" t="str">
        <f>IF(HLOOKUP($B42,$W$6:$AD$35,19,FALSE)=0,"",HLOOKUP($B42,$W$6:$AD$35,19,FALSE))</f>
        <v/>
      </c>
      <c r="K44" s="15" t="str">
        <f>IF(HLOOKUP($B42,$W$6:$AD$35,21,FALSE)=0,"",HLOOKUP($B42,$W$6:$AD$35,21,FALSE))</f>
        <v/>
      </c>
      <c r="L44" s="15" t="str">
        <f>IF(HLOOKUP($B42,$W$6:$AD$35,23,FALSE)=0,"",HLOOKUP($B42,$W$6:$AD$35,23,FALSE))</f>
        <v/>
      </c>
      <c r="M44" s="15" t="str">
        <f>IF(HLOOKUP($B42,$W$6:$AD$35,25,FALSE)=0,"",HLOOKUP($B42,$W$6:$AD$35,25,FALSE))</f>
        <v/>
      </c>
      <c r="N44" s="15" t="str">
        <f>IF(HLOOKUP($B42,$W$6:$AD$35,27,FALSE)=0,"",HLOOKUP($B42,$W$6:$AD$35,27,FALSE))</f>
        <v/>
      </c>
      <c r="O44" s="16" t="str">
        <f>IF(HLOOKUP($B42,$W$6:$AD$35,29,FALSE)=0,"",HLOOKUP($B42,$W$6:$AD$35,29,FALSE))</f>
        <v/>
      </c>
      <c r="P44" s="508"/>
      <c r="Q44" s="506"/>
    </row>
    <row r="45" spans="1:30" ht="13.5" customHeight="1">
      <c r="A45" s="495"/>
      <c r="B45" s="489"/>
      <c r="C45" s="486"/>
      <c r="D45" s="483"/>
      <c r="E45" s="483"/>
      <c r="F45" s="497"/>
      <c r="G45" s="14" t="str">
        <f>IF(HLOOKUP($B42,$W$6:$AD$35,8,FALSE)=0,"",HLOOKUP($B42,$W$6:$AD$35,8,FALSE))</f>
        <v/>
      </c>
      <c r="H45" s="15" t="str">
        <f>IF(HLOOKUP($B42,$W$6:$AD$35,13,FALSE)=0,"",HLOOKUP($B42,$W$6:$AD$35,13,FALSE))</f>
        <v/>
      </c>
      <c r="I45" s="18"/>
      <c r="J45" s="18"/>
      <c r="K45" s="18"/>
      <c r="L45" s="18"/>
      <c r="M45" s="18"/>
      <c r="N45" s="18"/>
      <c r="O45" s="19"/>
      <c r="P45" s="508"/>
      <c r="Q45" s="506"/>
    </row>
    <row r="46" spans="1:30" ht="13.5" customHeight="1">
      <c r="A46" s="495"/>
      <c r="B46" s="489"/>
      <c r="C46" s="486"/>
      <c r="D46" s="483"/>
      <c r="E46" s="483"/>
      <c r="F46" s="497"/>
      <c r="G46" s="14" t="str">
        <f>IF(HLOOKUP($B42,$W$6:$AD$35,9,FALSE)=0,"",HLOOKUP($B42,$W$6:$AD$35,9,FALSE))</f>
        <v/>
      </c>
      <c r="H46" s="15" t="str">
        <f>IF(HLOOKUP($B42,$W$6:$AD$35,14,FALSE)=0,"",HLOOKUP($B42,$W$6:$AD$35,14,FALSE))</f>
        <v/>
      </c>
      <c r="I46" s="20"/>
      <c r="J46" s="20"/>
      <c r="K46" s="20"/>
      <c r="L46" s="20"/>
      <c r="M46" s="20"/>
      <c r="N46" s="20"/>
      <c r="O46" s="21"/>
      <c r="P46" s="508"/>
      <c r="Q46" s="506"/>
    </row>
    <row r="47" spans="1:30" ht="13.5" customHeight="1" thickBot="1">
      <c r="A47" s="495"/>
      <c r="B47" s="490"/>
      <c r="C47" s="487"/>
      <c r="D47" s="484"/>
      <c r="E47" s="484"/>
      <c r="F47" s="498"/>
      <c r="G47" s="22" t="str">
        <f>IF(HLOOKUP($B42,$W$6:$AD$35,10,FALSE)=0,"",HLOOKUP($B42,$W$6:$AD$35,10,FALSE))</f>
        <v/>
      </c>
      <c r="H47" s="23" t="str">
        <f>IF(HLOOKUP($B42,$W$6:$AD$35,15,FALSE)=0,"",HLOOKUP($B42,$W$6:$AD$35,15,FALSE))</f>
        <v/>
      </c>
      <c r="I47" s="24"/>
      <c r="J47" s="24"/>
      <c r="K47" s="24"/>
      <c r="L47" s="24"/>
      <c r="M47" s="24"/>
      <c r="N47" s="24"/>
      <c r="O47" s="25"/>
      <c r="P47" s="509"/>
      <c r="Q47" s="501"/>
    </row>
    <row r="48" spans="1:30" ht="13.5" customHeight="1" thickBot="1">
      <c r="A48" s="495">
        <v>8</v>
      </c>
      <c r="B48" s="488">
        <f>SMALL($W$6:$AD$6,A48)</f>
        <v>1.000001672601265</v>
      </c>
      <c r="C48" s="485" t="str">
        <f>HLOOKUP($B48,$W$6:$AD$35,2,FALSE)</f>
        <v>H</v>
      </c>
      <c r="D48" s="482">
        <f>HLOOKUP($B48,$W$6:$AD$35,3,FALSE)</f>
        <v>0</v>
      </c>
      <c r="E48" s="482">
        <f>HLOOKUP($B48,$W$6:$AD$35,4,FALSE)</f>
        <v>0</v>
      </c>
      <c r="F48" s="496">
        <f>HLOOKUP($B48,$W$6:$AD$35,5,FALSE)</f>
        <v>0</v>
      </c>
      <c r="G48" s="10" t="str">
        <f t="shared" ref="G48:O48" si="9">IF(G49="","",SUM(G49:G53))</f>
        <v/>
      </c>
      <c r="H48" s="11" t="str">
        <f t="shared" si="9"/>
        <v/>
      </c>
      <c r="I48" s="11" t="str">
        <f t="shared" si="9"/>
        <v/>
      </c>
      <c r="J48" s="11" t="str">
        <f t="shared" si="9"/>
        <v/>
      </c>
      <c r="K48" s="11" t="str">
        <f t="shared" si="9"/>
        <v/>
      </c>
      <c r="L48" s="11" t="str">
        <f t="shared" si="9"/>
        <v/>
      </c>
      <c r="M48" s="11" t="str">
        <f t="shared" si="9"/>
        <v/>
      </c>
      <c r="N48" s="11" t="str">
        <f t="shared" si="9"/>
        <v/>
      </c>
      <c r="O48" s="12" t="str">
        <f t="shared" si="9"/>
        <v/>
      </c>
      <c r="P48" s="507">
        <f>SUM(G48:O48)</f>
        <v>0</v>
      </c>
      <c r="Q48" s="505">
        <f>P42-P48</f>
        <v>0</v>
      </c>
    </row>
    <row r="49" spans="1:17" ht="13.5" customHeight="1">
      <c r="A49" s="495"/>
      <c r="B49" s="489"/>
      <c r="C49" s="486"/>
      <c r="D49" s="483"/>
      <c r="E49" s="483"/>
      <c r="F49" s="497"/>
      <c r="G49" s="14" t="str">
        <f>IF(HLOOKUP($B48,$W$6:$AD$35,6,FALSE)=0,"",HLOOKUP($B48,$W$6:$AD$35,6,FALSE))</f>
        <v/>
      </c>
      <c r="H49" s="15" t="str">
        <f>IF(HLOOKUP($B48,$W$6:$AD$35,11,FALSE)=0,"",HLOOKUP($B48,$W$6:$AD$35,11,FALSE))</f>
        <v/>
      </c>
      <c r="I49" s="15" t="str">
        <f>IF(HLOOKUP($B48,$W$6:$AD$35,16,FALSE)=0,"",HLOOKUP($B48,$W$6:$AD$35,16,FALSE))</f>
        <v/>
      </c>
      <c r="J49" s="15" t="str">
        <f>IF(HLOOKUP($B48,$W$6:$AD$35,18,FALSE)=0,"",HLOOKUP($B48,$W$6:$AD$35,18,FALSE))</f>
        <v/>
      </c>
      <c r="K49" s="15" t="str">
        <f>IF(HLOOKUP($B48,$W$6:$AD$35,20,FALSE)=0,"",HLOOKUP($B48,$W$6:$AD$35,20,FALSE))</f>
        <v/>
      </c>
      <c r="L49" s="15" t="str">
        <f>IF(HLOOKUP($B48,$W$6:$AD$35,22,FALSE)=0,"",HLOOKUP($B48,$W$6:$AD$35,22,FALSE))</f>
        <v/>
      </c>
      <c r="M49" s="15" t="str">
        <f>IF(HLOOKUP($B48,$W$6:$AD$35,24,FALSE)=0,"",HLOOKUP($B48,$W$6:$AD$35,24,FALSE))</f>
        <v/>
      </c>
      <c r="N49" s="15" t="str">
        <f>IF(HLOOKUP($B48,$W$6:$AD$35,26,FALSE)=0,"",HLOOKUP($B48,$W$6:$AD$35,26,FALSE))</f>
        <v/>
      </c>
      <c r="O49" s="16" t="str">
        <f>IF(HLOOKUP($B48,$W$6:$AD$35,28,FALSE)=0,"",HLOOKUP($B48,$W$6:$AD$35,28,FALSE))</f>
        <v/>
      </c>
      <c r="P49" s="508"/>
      <c r="Q49" s="506"/>
    </row>
    <row r="50" spans="1:17" ht="13.5" customHeight="1">
      <c r="A50" s="495"/>
      <c r="B50" s="489"/>
      <c r="C50" s="486"/>
      <c r="D50" s="483"/>
      <c r="E50" s="483"/>
      <c r="F50" s="497"/>
      <c r="G50" s="14" t="str">
        <f>IF(HLOOKUP($B48,$W$6:$AD$35,7,FALSE)=0,"",HLOOKUP($B48,$W$6:$AD$35,7,FALSE))</f>
        <v/>
      </c>
      <c r="H50" s="15" t="str">
        <f>IF(HLOOKUP($B48,$W$6:$AD$35,12,FALSE)=0,"",HLOOKUP($B48,$W$6:$AD$35,12,FALSE))</f>
        <v/>
      </c>
      <c r="I50" s="15" t="str">
        <f>IF(HLOOKUP($B48,$W$6:$AD$35,17,FALSE)=0,"",HLOOKUP($B48,$W$6:$AD$35,17,FALSE))</f>
        <v/>
      </c>
      <c r="J50" s="15" t="str">
        <f>IF(HLOOKUP($B48,$W$6:$AD$35,19,FALSE)=0,"",HLOOKUP($B48,$W$6:$AD$35,19,FALSE))</f>
        <v/>
      </c>
      <c r="K50" s="15" t="str">
        <f>IF(HLOOKUP($B48,$W$6:$AD$35,21,FALSE)=0,"",HLOOKUP($B48,$W$6:$AD$35,21,FALSE))</f>
        <v/>
      </c>
      <c r="L50" s="15" t="str">
        <f>IF(HLOOKUP($B48,$W$6:$AD$35,23,FALSE)=0,"",HLOOKUP($B48,$W$6:$AD$35,23,FALSE))</f>
        <v/>
      </c>
      <c r="M50" s="15" t="str">
        <f>IF(HLOOKUP($B48,$W$6:$AD$35,25,FALSE)=0,"",HLOOKUP($B48,$W$6:$AD$35,25,FALSE))</f>
        <v/>
      </c>
      <c r="N50" s="15" t="str">
        <f>IF(HLOOKUP($B48,$W$6:$AD$35,27,FALSE)=0,"",HLOOKUP($B48,$W$6:$AD$35,27,FALSE))</f>
        <v/>
      </c>
      <c r="O50" s="16" t="str">
        <f>IF(HLOOKUP($B48,$W$6:$AD$35,29,FALSE)=0,"",HLOOKUP($B48,$W$6:$AD$35,29,FALSE))</f>
        <v/>
      </c>
      <c r="P50" s="508"/>
      <c r="Q50" s="506"/>
    </row>
    <row r="51" spans="1:17" ht="13.5" customHeight="1">
      <c r="A51" s="495"/>
      <c r="B51" s="489"/>
      <c r="C51" s="486"/>
      <c r="D51" s="483"/>
      <c r="E51" s="483"/>
      <c r="F51" s="497"/>
      <c r="G51" s="14" t="str">
        <f>IF(HLOOKUP($B48,$W$6:$AD$35,8,FALSE)=0,"",HLOOKUP($B48,$W$6:$AD$35,8,FALSE))</f>
        <v/>
      </c>
      <c r="H51" s="15" t="str">
        <f>IF(HLOOKUP($B48,$W$6:$AD$35,13,FALSE)=0,"",HLOOKUP($B48,$W$6:$AD$35,13,FALSE))</f>
        <v/>
      </c>
      <c r="I51" s="18"/>
      <c r="J51" s="18"/>
      <c r="K51" s="18"/>
      <c r="L51" s="18"/>
      <c r="M51" s="18"/>
      <c r="N51" s="18"/>
      <c r="O51" s="19"/>
      <c r="P51" s="508"/>
      <c r="Q51" s="506"/>
    </row>
    <row r="52" spans="1:17" ht="13.5" customHeight="1">
      <c r="A52" s="495"/>
      <c r="B52" s="489"/>
      <c r="C52" s="486"/>
      <c r="D52" s="483"/>
      <c r="E52" s="483"/>
      <c r="F52" s="497"/>
      <c r="G52" s="14" t="str">
        <f>IF(HLOOKUP($B48,$W$6:$AD$35,9,FALSE)=0,"",HLOOKUP($B48,$W$6:$AD$35,9,FALSE))</f>
        <v/>
      </c>
      <c r="H52" s="15" t="str">
        <f>IF(HLOOKUP($B48,$W$6:$AD$35,14,FALSE)=0,"",HLOOKUP($B48,$W$6:$AD$35,14,FALSE))</f>
        <v/>
      </c>
      <c r="I52" s="20"/>
      <c r="J52" s="20"/>
      <c r="K52" s="20"/>
      <c r="L52" s="20"/>
      <c r="M52" s="20"/>
      <c r="N52" s="20"/>
      <c r="O52" s="21"/>
      <c r="P52" s="508"/>
      <c r="Q52" s="506"/>
    </row>
    <row r="53" spans="1:17" ht="13.5" customHeight="1" thickBot="1">
      <c r="A53" s="495"/>
      <c r="B53" s="490"/>
      <c r="C53" s="523"/>
      <c r="D53" s="524"/>
      <c r="E53" s="524"/>
      <c r="F53" s="517"/>
      <c r="G53" s="22" t="str">
        <f>IF(HLOOKUP($B48,$W$6:$AD$35,10,FALSE)=0,"",HLOOKUP($B48,$W$6:$AD$35,10,FALSE))</f>
        <v/>
      </c>
      <c r="H53" s="23" t="str">
        <f>IF(HLOOKUP($B48,$W$6:$AD$35,15,FALSE)=0,"",HLOOKUP($B48,$W$6:$AD$35,15,FALSE))</f>
        <v/>
      </c>
      <c r="I53" s="24"/>
      <c r="J53" s="24"/>
      <c r="K53" s="24"/>
      <c r="L53" s="24"/>
      <c r="M53" s="24"/>
      <c r="N53" s="24"/>
      <c r="O53" s="25"/>
      <c r="P53" s="509"/>
      <c r="Q53" s="501"/>
    </row>
    <row r="54" spans="1:17">
      <c r="C54" s="1"/>
    </row>
    <row r="55" spans="1:17">
      <c r="C55" s="1"/>
    </row>
    <row r="56" spans="1:17">
      <c r="C56" s="1"/>
    </row>
    <row r="57" spans="1:17">
      <c r="C57" s="1"/>
    </row>
    <row r="58" spans="1:17">
      <c r="C58" s="1"/>
    </row>
    <row r="59" spans="1:17">
      <c r="C59" s="1"/>
    </row>
    <row r="60" spans="1:17">
      <c r="C60" s="1"/>
    </row>
    <row r="61" spans="1:17">
      <c r="C61" s="1"/>
    </row>
    <row r="62" spans="1:17">
      <c r="C62" s="1"/>
    </row>
    <row r="63" spans="1:17">
      <c r="C63" s="1"/>
    </row>
    <row r="64" spans="1:17">
      <c r="C64" s="1"/>
    </row>
    <row r="65" spans="3:3">
      <c r="C65" s="1"/>
    </row>
    <row r="66" spans="3:3">
      <c r="C66" s="1"/>
    </row>
    <row r="67" spans="3:3">
      <c r="C67" s="1"/>
    </row>
    <row r="68" spans="3:3">
      <c r="C68" s="1"/>
    </row>
    <row r="69" spans="3:3">
      <c r="C69" s="1"/>
    </row>
    <row r="70" spans="3:3">
      <c r="C70" s="1"/>
    </row>
    <row r="71" spans="3:3">
      <c r="C71" s="1"/>
    </row>
    <row r="72" spans="3:3">
      <c r="C72" s="1"/>
    </row>
    <row r="73" spans="3:3">
      <c r="C73" s="1"/>
    </row>
    <row r="74" spans="3:3">
      <c r="C74" s="1"/>
    </row>
    <row r="75" spans="3:3">
      <c r="C75" s="1"/>
    </row>
    <row r="76" spans="3:3">
      <c r="C76" s="1"/>
    </row>
    <row r="77" spans="3:3">
      <c r="C77" s="1"/>
    </row>
    <row r="78" spans="3:3">
      <c r="C78" s="1"/>
    </row>
    <row r="79" spans="3:3">
      <c r="C79" s="1"/>
    </row>
    <row r="80" spans="3:3">
      <c r="C80" s="1"/>
    </row>
    <row r="81" spans="3:3">
      <c r="C81" s="1"/>
    </row>
    <row r="82" spans="3:3">
      <c r="C82" s="1"/>
    </row>
    <row r="83" spans="3:3">
      <c r="C83" s="1"/>
    </row>
    <row r="84" spans="3:3">
      <c r="C84" s="1"/>
    </row>
  </sheetData>
  <mergeCells count="75">
    <mergeCell ref="A48:A53"/>
    <mergeCell ref="B48:B53"/>
    <mergeCell ref="C48:C53"/>
    <mergeCell ref="D48:D53"/>
    <mergeCell ref="E48:E53"/>
    <mergeCell ref="F42:F47"/>
    <mergeCell ref="P42:P47"/>
    <mergeCell ref="Q42:Q47"/>
    <mergeCell ref="P48:P53"/>
    <mergeCell ref="Q48:Q53"/>
    <mergeCell ref="F48:F53"/>
    <mergeCell ref="E30:E35"/>
    <mergeCell ref="A42:A47"/>
    <mergeCell ref="B42:B47"/>
    <mergeCell ref="C42:C47"/>
    <mergeCell ref="D42:D47"/>
    <mergeCell ref="E42:E47"/>
    <mergeCell ref="E18:E23"/>
    <mergeCell ref="F30:F35"/>
    <mergeCell ref="P30:P35"/>
    <mergeCell ref="Q30:Q35"/>
    <mergeCell ref="A36:A41"/>
    <mergeCell ref="B36:B41"/>
    <mergeCell ref="C36:C41"/>
    <mergeCell ref="D36:D41"/>
    <mergeCell ref="E36:E41"/>
    <mergeCell ref="F36:F41"/>
    <mergeCell ref="P36:P41"/>
    <mergeCell ref="Q36:Q41"/>
    <mergeCell ref="A30:A35"/>
    <mergeCell ref="B30:B35"/>
    <mergeCell ref="C30:C35"/>
    <mergeCell ref="D30:D35"/>
    <mergeCell ref="E6:E11"/>
    <mergeCell ref="F18:F23"/>
    <mergeCell ref="P18:P23"/>
    <mergeCell ref="Q18:Q23"/>
    <mergeCell ref="A24:A29"/>
    <mergeCell ref="B24:B29"/>
    <mergeCell ref="C24:C29"/>
    <mergeCell ref="D24:D29"/>
    <mergeCell ref="E24:E29"/>
    <mergeCell ref="F24:F29"/>
    <mergeCell ref="P24:P29"/>
    <mergeCell ref="Q24:Q29"/>
    <mergeCell ref="A18:A23"/>
    <mergeCell ref="B18:B23"/>
    <mergeCell ref="C18:C23"/>
    <mergeCell ref="D18:D23"/>
    <mergeCell ref="F6:F11"/>
    <mergeCell ref="P6:P11"/>
    <mergeCell ref="Q6:Q11"/>
    <mergeCell ref="V7:V10"/>
    <mergeCell ref="A12:A17"/>
    <mergeCell ref="B12:B17"/>
    <mergeCell ref="C12:C17"/>
    <mergeCell ref="D12:D17"/>
    <mergeCell ref="E12:E17"/>
    <mergeCell ref="F12:F17"/>
    <mergeCell ref="P12:P17"/>
    <mergeCell ref="Q12:Q17"/>
    <mergeCell ref="A6:A11"/>
    <mergeCell ref="B6:B11"/>
    <mergeCell ref="C6:C11"/>
    <mergeCell ref="D6:D11"/>
    <mergeCell ref="Q4:Q5"/>
    <mergeCell ref="A4:A5"/>
    <mergeCell ref="B4:B5"/>
    <mergeCell ref="C4:C5"/>
    <mergeCell ref="D4:D5"/>
    <mergeCell ref="E4:E5"/>
    <mergeCell ref="F4:F5"/>
    <mergeCell ref="G4:H4"/>
    <mergeCell ref="I4:O5"/>
    <mergeCell ref="P4:P5"/>
  </mergeCells>
  <phoneticPr fontId="1"/>
  <conditionalFormatting sqref="G6:H48">
    <cfRule type="cellIs" dxfId="3" priority="8" stopIfTrue="1" operator="greaterThan">
      <formula>52.4</formula>
    </cfRule>
  </conditionalFormatting>
  <conditionalFormatting sqref="G7:O17">
    <cfRule type="cellIs" dxfId="2" priority="172" stopIfTrue="1" operator="greaterThan">
      <formula>10.4</formula>
    </cfRule>
  </conditionalFormatting>
  <conditionalFormatting sqref="G19:O53">
    <cfRule type="cellIs" dxfId="1" priority="10" stopIfTrue="1" operator="greaterThan">
      <formula>10.4</formula>
    </cfRule>
  </conditionalFormatting>
  <conditionalFormatting sqref="I6:O48">
    <cfRule type="cellIs" dxfId="0" priority="1" stopIfTrue="1" operator="greaterThan">
      <formula>20.9</formula>
    </cfRule>
  </conditionalFormatting>
  <printOptions horizontalCentered="1"/>
  <pageMargins left="0" right="0" top="0.78740157480314965" bottom="0" header="0" footer="0"/>
  <pageSetup paperSize="9" scale="91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2"/>
  <sheetViews>
    <sheetView workbookViewId="0">
      <selection activeCell="L28" sqref="L28"/>
    </sheetView>
  </sheetViews>
  <sheetFormatPr defaultRowHeight="13.2"/>
  <sheetData>
    <row r="2" spans="3:7">
      <c r="C2" t="s">
        <v>78</v>
      </c>
      <c r="E2" t="s">
        <v>33</v>
      </c>
      <c r="G2" t="s">
        <v>77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B2:I45"/>
  <sheetViews>
    <sheetView view="pageBreakPreview" topLeftCell="A73" zoomScale="110" zoomScaleNormal="100" zoomScaleSheetLayoutView="110" workbookViewId="0">
      <selection activeCell="N26" sqref="N26"/>
    </sheetView>
  </sheetViews>
  <sheetFormatPr defaultColWidth="9" defaultRowHeight="17.399999999999999"/>
  <cols>
    <col min="1" max="2" width="9" style="29"/>
    <col min="3" max="3" width="12.44140625" style="29" customWidth="1"/>
    <col min="4" max="4" width="12.21875" style="29" customWidth="1"/>
    <col min="5" max="16384" width="9" style="29"/>
  </cols>
  <sheetData>
    <row r="2" spans="2:9" ht="18" thickBot="1"/>
    <row r="3" spans="2:9" ht="18" thickTop="1">
      <c r="B3" s="33"/>
      <c r="C3" s="34"/>
      <c r="D3" s="34"/>
      <c r="E3" s="34"/>
      <c r="F3" s="34"/>
      <c r="G3" s="34"/>
      <c r="H3" s="35"/>
    </row>
    <row r="4" spans="2:9" ht="30" customHeight="1">
      <c r="B4" s="450" t="str">
        <f>概要!B1</f>
        <v>令和7年度　</v>
      </c>
      <c r="C4" s="448"/>
      <c r="D4" s="448"/>
      <c r="E4" s="448"/>
      <c r="F4" s="448"/>
      <c r="G4" s="448"/>
      <c r="H4" s="451"/>
    </row>
    <row r="5" spans="2:9" ht="30" customHeight="1">
      <c r="B5" s="452" t="str">
        <f>概要!B2</f>
        <v>岐阜県高校新人大会ライフル射撃競技
兼令和７年度第２４回秋季東海地区高等学校ライフル射撃競技大会予選会</v>
      </c>
      <c r="C5" s="453"/>
      <c r="D5" s="453"/>
      <c r="E5" s="453"/>
      <c r="F5" s="453"/>
      <c r="G5" s="453"/>
      <c r="H5" s="454"/>
    </row>
    <row r="6" spans="2:9" ht="22.5" customHeight="1">
      <c r="B6" s="452"/>
      <c r="C6" s="453"/>
      <c r="D6" s="453"/>
      <c r="E6" s="453"/>
      <c r="F6" s="453"/>
      <c r="G6" s="453"/>
      <c r="H6" s="454"/>
    </row>
    <row r="7" spans="2:9" ht="21.6">
      <c r="B7" s="36"/>
      <c r="E7" s="30"/>
      <c r="H7" s="37"/>
    </row>
    <row r="8" spans="2:9" ht="21.6">
      <c r="B8" s="36"/>
      <c r="C8" s="30" t="s">
        <v>116</v>
      </c>
      <c r="E8" s="30"/>
      <c r="H8" s="37"/>
    </row>
    <row r="9" spans="2:9" ht="21.6">
      <c r="B9" s="36"/>
      <c r="D9" s="30" t="s">
        <v>51</v>
      </c>
      <c r="E9" s="30" t="str">
        <f>概要!D7</f>
        <v>令和7年10月25日（土）</v>
      </c>
      <c r="F9" s="30"/>
      <c r="G9" s="30"/>
      <c r="H9" s="30"/>
      <c r="I9" s="36"/>
    </row>
    <row r="10" spans="2:9" ht="21.6">
      <c r="B10" s="36"/>
      <c r="D10" s="30" t="s">
        <v>52</v>
      </c>
      <c r="E10" s="30" t="s">
        <v>84</v>
      </c>
      <c r="F10" s="30"/>
      <c r="G10" s="30"/>
      <c r="H10" s="30"/>
      <c r="I10" s="36"/>
    </row>
    <row r="11" spans="2:9">
      <c r="B11" s="36"/>
      <c r="H11" s="37"/>
    </row>
    <row r="12" spans="2:9" ht="21.6">
      <c r="B12" s="36"/>
      <c r="C12" s="30" t="s">
        <v>85</v>
      </c>
      <c r="H12" s="37"/>
    </row>
    <row r="13" spans="2:9" ht="21.6">
      <c r="B13" s="36"/>
      <c r="D13" s="30" t="s">
        <v>51</v>
      </c>
      <c r="E13" s="30" t="str">
        <f>概要!D16</f>
        <v>令和7年10月26日（日）</v>
      </c>
      <c r="F13" s="30"/>
      <c r="G13" s="30"/>
      <c r="H13" s="30"/>
      <c r="I13" s="36"/>
    </row>
    <row r="14" spans="2:9" ht="21.6">
      <c r="B14" s="36"/>
      <c r="D14" s="30" t="s">
        <v>52</v>
      </c>
      <c r="E14" s="30" t="s">
        <v>120</v>
      </c>
      <c r="F14" s="30"/>
      <c r="G14" s="30"/>
      <c r="H14" s="30"/>
      <c r="I14" s="36"/>
    </row>
    <row r="15" spans="2:9" ht="22.2" thickBot="1">
      <c r="B15" s="38"/>
      <c r="C15" s="39"/>
      <c r="D15" s="40"/>
      <c r="E15" s="39"/>
      <c r="F15" s="39"/>
      <c r="G15" s="39"/>
      <c r="H15" s="41"/>
    </row>
    <row r="16" spans="2:9" ht="18" thickTop="1"/>
    <row r="18" spans="2:5">
      <c r="B18" s="29" t="s">
        <v>19</v>
      </c>
      <c r="D18" s="42" t="s">
        <v>118</v>
      </c>
      <c r="E18" s="29" t="s">
        <v>86</v>
      </c>
    </row>
    <row r="19" spans="2:5">
      <c r="D19" s="42"/>
    </row>
    <row r="20" spans="2:5">
      <c r="D20" s="42"/>
    </row>
    <row r="21" spans="2:5">
      <c r="B21" s="29" t="s">
        <v>20</v>
      </c>
      <c r="D21" s="42" t="s">
        <v>21</v>
      </c>
      <c r="E21" s="29" t="s">
        <v>22</v>
      </c>
    </row>
    <row r="22" spans="2:5">
      <c r="D22" s="42" t="s">
        <v>214</v>
      </c>
      <c r="E22" s="29" t="s">
        <v>87</v>
      </c>
    </row>
    <row r="23" spans="2:5">
      <c r="D23" s="42" t="s">
        <v>38</v>
      </c>
      <c r="E23" s="29" t="s">
        <v>88</v>
      </c>
    </row>
    <row r="24" spans="2:5">
      <c r="D24" s="42" t="s">
        <v>90</v>
      </c>
      <c r="E24" s="29" t="s">
        <v>23</v>
      </c>
    </row>
    <row r="25" spans="2:5">
      <c r="D25" s="42" t="s">
        <v>122</v>
      </c>
      <c r="E25" s="29" t="s">
        <v>22</v>
      </c>
    </row>
    <row r="26" spans="2:5">
      <c r="D26" s="42" t="s">
        <v>37</v>
      </c>
      <c r="E26" s="29" t="s">
        <v>22</v>
      </c>
    </row>
    <row r="27" spans="2:5">
      <c r="D27" s="42" t="s">
        <v>89</v>
      </c>
      <c r="E27" s="29" t="s">
        <v>30</v>
      </c>
    </row>
    <row r="29" spans="2:5">
      <c r="D29" s="42" t="s">
        <v>143</v>
      </c>
      <c r="E29" s="29" t="s">
        <v>24</v>
      </c>
    </row>
    <row r="30" spans="2:5">
      <c r="D30" s="42" t="s">
        <v>25</v>
      </c>
      <c r="E30" s="29" t="s">
        <v>24</v>
      </c>
    </row>
    <row r="31" spans="2:5">
      <c r="D31" s="42" t="s">
        <v>91</v>
      </c>
      <c r="E31" s="29" t="s">
        <v>24</v>
      </c>
    </row>
    <row r="32" spans="2:5">
      <c r="D32" s="42" t="s">
        <v>121</v>
      </c>
      <c r="E32" s="29" t="s">
        <v>24</v>
      </c>
    </row>
    <row r="34" spans="2:5">
      <c r="D34" s="42"/>
    </row>
    <row r="35" spans="2:5">
      <c r="D35" s="42"/>
    </row>
    <row r="36" spans="2:5">
      <c r="D36" s="42"/>
    </row>
    <row r="37" spans="2:5">
      <c r="D37" s="42"/>
    </row>
    <row r="38" spans="2:5">
      <c r="D38" s="42"/>
    </row>
    <row r="39" spans="2:5">
      <c r="D39" s="42"/>
    </row>
    <row r="40" spans="2:5">
      <c r="D40" s="42"/>
    </row>
    <row r="43" spans="2:5">
      <c r="C43" s="29" t="s">
        <v>26</v>
      </c>
      <c r="D43" s="42" t="s">
        <v>216</v>
      </c>
      <c r="E43" s="29" t="s">
        <v>119</v>
      </c>
    </row>
    <row r="45" spans="2:5">
      <c r="B45" s="29" t="s">
        <v>27</v>
      </c>
      <c r="D45" s="29" t="s">
        <v>28</v>
      </c>
    </row>
  </sheetData>
  <mergeCells count="2">
    <mergeCell ref="B4:H4"/>
    <mergeCell ref="B5:H6"/>
  </mergeCells>
  <phoneticPr fontId="1"/>
  <printOptions horizontalCentered="1" verticalCentered="1"/>
  <pageMargins left="0" right="0" top="0" bottom="0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K38"/>
  <sheetViews>
    <sheetView view="pageBreakPreview" topLeftCell="A4" zoomScale="115" zoomScaleNormal="100" zoomScaleSheetLayoutView="115" workbookViewId="0">
      <selection activeCell="J15" sqref="J15"/>
    </sheetView>
  </sheetViews>
  <sheetFormatPr defaultColWidth="8.109375" defaultRowHeight="17.399999999999999"/>
  <cols>
    <col min="1" max="1" width="8.109375" style="29"/>
    <col min="2" max="2" width="10.33203125" style="29" customWidth="1"/>
    <col min="3" max="3" width="12.33203125" style="29" customWidth="1"/>
    <col min="4" max="4" width="8.33203125" style="29" customWidth="1"/>
    <col min="5" max="16384" width="8.109375" style="29"/>
  </cols>
  <sheetData>
    <row r="1" spans="2:11">
      <c r="B1" s="265">
        <v>45955</v>
      </c>
      <c r="C1" s="64">
        <f>WEEKDAY(B1)</f>
        <v>7</v>
      </c>
      <c r="D1" s="29" t="s">
        <v>115</v>
      </c>
    </row>
    <row r="3" spans="2:11">
      <c r="B3" s="29" t="s">
        <v>14</v>
      </c>
    </row>
    <row r="5" spans="2:11">
      <c r="B5" s="29" t="s">
        <v>15</v>
      </c>
    </row>
    <row r="7" spans="2:11">
      <c r="C7" s="44"/>
      <c r="D7" s="44" t="s">
        <v>49</v>
      </c>
      <c r="E7" s="45"/>
      <c r="F7" s="45"/>
      <c r="G7" s="46"/>
      <c r="H7" s="44" t="s">
        <v>114</v>
      </c>
      <c r="I7" s="45"/>
      <c r="J7" s="45"/>
      <c r="K7" s="46"/>
    </row>
    <row r="8" spans="2:11">
      <c r="C8" s="44" t="s">
        <v>39</v>
      </c>
      <c r="D8" s="84" t="s">
        <v>34</v>
      </c>
      <c r="E8" s="45" t="s">
        <v>220</v>
      </c>
      <c r="F8" s="45"/>
      <c r="G8" s="46"/>
      <c r="H8" s="84" t="s">
        <v>218</v>
      </c>
      <c r="I8" s="45" t="s">
        <v>220</v>
      </c>
      <c r="J8" s="45"/>
      <c r="K8" s="46"/>
    </row>
    <row r="9" spans="2:11">
      <c r="C9" s="44" t="s">
        <v>76</v>
      </c>
      <c r="D9" s="84" t="s">
        <v>218</v>
      </c>
      <c r="E9" s="45" t="s">
        <v>219</v>
      </c>
      <c r="F9" s="45"/>
      <c r="G9" s="46"/>
      <c r="H9" s="44" t="s">
        <v>217</v>
      </c>
      <c r="I9" s="45" t="s">
        <v>219</v>
      </c>
      <c r="J9" s="45"/>
      <c r="K9" s="46"/>
    </row>
    <row r="10" spans="2:11">
      <c r="B10" s="29" t="s">
        <v>97</v>
      </c>
    </row>
    <row r="11" spans="2:11" ht="21.6">
      <c r="D11" s="30"/>
    </row>
    <row r="13" spans="2:11">
      <c r="B13" s="63">
        <v>45956</v>
      </c>
      <c r="C13" s="64">
        <f>WEEKDAY(B13)</f>
        <v>1</v>
      </c>
      <c r="D13" s="29" t="s">
        <v>41</v>
      </c>
    </row>
    <row r="14" spans="2:11">
      <c r="B14" s="264"/>
    </row>
    <row r="15" spans="2:11">
      <c r="B15" s="29" t="s">
        <v>98</v>
      </c>
    </row>
    <row r="17" spans="2:11">
      <c r="B17" s="29" t="s">
        <v>14</v>
      </c>
    </row>
    <row r="19" spans="2:11">
      <c r="B19" s="29" t="s">
        <v>15</v>
      </c>
      <c r="C19" s="29" t="s">
        <v>32</v>
      </c>
    </row>
    <row r="21" spans="2:11">
      <c r="C21" s="44"/>
      <c r="D21" s="44" t="s">
        <v>57</v>
      </c>
      <c r="E21" s="45"/>
      <c r="F21" s="45"/>
      <c r="G21" s="46"/>
      <c r="H21" s="44" t="s">
        <v>58</v>
      </c>
      <c r="I21" s="45"/>
      <c r="J21" s="45"/>
      <c r="K21" s="46"/>
    </row>
    <row r="22" spans="2:11">
      <c r="C22" s="44" t="s">
        <v>39</v>
      </c>
      <c r="D22" s="44" t="s">
        <v>96</v>
      </c>
      <c r="E22" s="45" t="s">
        <v>104</v>
      </c>
      <c r="F22" s="46"/>
      <c r="G22" s="46"/>
      <c r="H22" s="44" t="s">
        <v>113</v>
      </c>
      <c r="I22" s="45" t="s">
        <v>104</v>
      </c>
      <c r="J22" s="45"/>
      <c r="K22" s="46"/>
    </row>
    <row r="23" spans="2:11">
      <c r="C23" s="44" t="s">
        <v>40</v>
      </c>
      <c r="D23" s="44" t="s">
        <v>96</v>
      </c>
      <c r="E23" s="45" t="s">
        <v>105</v>
      </c>
      <c r="F23" s="46"/>
      <c r="G23" s="46"/>
      <c r="H23" s="44" t="s">
        <v>113</v>
      </c>
      <c r="I23" s="45" t="s">
        <v>105</v>
      </c>
      <c r="J23" s="45"/>
      <c r="K23" s="46"/>
    </row>
    <row r="24" spans="2:11">
      <c r="C24" s="44" t="s">
        <v>42</v>
      </c>
      <c r="D24" s="44" t="s">
        <v>96</v>
      </c>
      <c r="E24" s="45" t="s">
        <v>106</v>
      </c>
      <c r="F24" s="46"/>
      <c r="G24" s="46"/>
      <c r="H24" s="44" t="s">
        <v>113</v>
      </c>
      <c r="I24" s="45" t="s">
        <v>106</v>
      </c>
      <c r="J24" s="45"/>
      <c r="K24" s="46"/>
    </row>
    <row r="25" spans="2:11">
      <c r="C25" s="44" t="s">
        <v>43</v>
      </c>
      <c r="D25" s="44" t="s">
        <v>96</v>
      </c>
      <c r="E25" s="45" t="s">
        <v>107</v>
      </c>
      <c r="F25" s="46"/>
      <c r="G25" s="46"/>
      <c r="H25" s="44" t="s">
        <v>113</v>
      </c>
      <c r="I25" s="45" t="s">
        <v>107</v>
      </c>
      <c r="J25" s="45"/>
      <c r="K25" s="46"/>
    </row>
    <row r="26" spans="2:11">
      <c r="C26" s="44" t="s">
        <v>296</v>
      </c>
      <c r="D26" s="44" t="s">
        <v>96</v>
      </c>
      <c r="E26" s="45" t="s">
        <v>306</v>
      </c>
      <c r="F26" s="46"/>
      <c r="G26" s="46"/>
      <c r="H26" s="44" t="s">
        <v>34</v>
      </c>
      <c r="I26" s="45" t="s">
        <v>306</v>
      </c>
      <c r="J26" s="45"/>
      <c r="K26" s="46"/>
    </row>
    <row r="27" spans="2:11">
      <c r="C27" s="44" t="s">
        <v>297</v>
      </c>
      <c r="D27" s="44" t="s">
        <v>96</v>
      </c>
      <c r="E27" s="45" t="s">
        <v>305</v>
      </c>
      <c r="F27" s="46"/>
      <c r="G27" s="46"/>
      <c r="H27" s="44" t="s">
        <v>34</v>
      </c>
      <c r="I27" s="45" t="s">
        <v>305</v>
      </c>
      <c r="J27" s="45"/>
      <c r="K27" s="46"/>
    </row>
    <row r="28" spans="2:11">
      <c r="C28" s="44" t="s">
        <v>99</v>
      </c>
      <c r="D28" s="44" t="s">
        <v>100</v>
      </c>
      <c r="E28" s="45" t="s">
        <v>92</v>
      </c>
      <c r="F28" s="45"/>
      <c r="G28" s="46"/>
      <c r="H28" s="44" t="s">
        <v>100</v>
      </c>
      <c r="I28" s="45" t="s">
        <v>92</v>
      </c>
      <c r="J28" s="45"/>
      <c r="K28" s="46"/>
    </row>
    <row r="29" spans="2:11">
      <c r="C29" s="44" t="s">
        <v>99</v>
      </c>
      <c r="D29" s="44" t="s">
        <v>101</v>
      </c>
      <c r="E29" s="45" t="s">
        <v>92</v>
      </c>
      <c r="F29" s="45"/>
      <c r="G29" s="46"/>
      <c r="H29" s="44" t="s">
        <v>101</v>
      </c>
      <c r="I29" s="45" t="s">
        <v>92</v>
      </c>
      <c r="J29" s="45"/>
      <c r="K29" s="46"/>
    </row>
    <row r="30" spans="2:11">
      <c r="C30" s="29" t="s">
        <v>16</v>
      </c>
    </row>
    <row r="32" spans="2:11">
      <c r="B32" s="29" t="s">
        <v>17</v>
      </c>
      <c r="D32" s="29" t="s">
        <v>102</v>
      </c>
    </row>
    <row r="38" spans="7:7">
      <c r="G38" s="29" t="s">
        <v>18</v>
      </c>
    </row>
  </sheetData>
  <phoneticPr fontId="1"/>
  <printOptions horizontalCentered="1"/>
  <pageMargins left="0" right="0" top="0.98425196850393704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FF00"/>
  </sheetPr>
  <dimension ref="A2:Y41"/>
  <sheetViews>
    <sheetView tabSelected="1" view="pageBreakPreview" zoomScaleNormal="100" zoomScaleSheetLayoutView="100" workbookViewId="0">
      <selection activeCell="T7" sqref="T7"/>
    </sheetView>
  </sheetViews>
  <sheetFormatPr defaultColWidth="9" defaultRowHeight="17.399999999999999"/>
  <cols>
    <col min="1" max="1" width="5.88671875" style="65" customWidth="1"/>
    <col min="2" max="2" width="8.109375" style="98" bestFit="1" customWidth="1"/>
    <col min="3" max="3" width="11.109375" style="98" bestFit="1" customWidth="1"/>
    <col min="4" max="4" width="13.33203125" style="29" customWidth="1"/>
    <col min="5" max="5" width="13.21875" style="29" customWidth="1"/>
    <col min="6" max="6" width="6.44140625" style="29" customWidth="1"/>
    <col min="7" max="12" width="8.109375" style="29" customWidth="1"/>
    <col min="13" max="13" width="8.33203125" style="29" customWidth="1"/>
    <col min="14" max="15" width="7.33203125" style="29" customWidth="1"/>
    <col min="16" max="16" width="1.6640625" style="29" customWidth="1"/>
    <col min="17" max="17" width="9" style="29"/>
    <col min="18" max="18" width="10.77734375" style="29" bestFit="1" customWidth="1"/>
    <col min="19" max="19" width="12.33203125" style="29" customWidth="1"/>
    <col min="20" max="23" width="9" style="29"/>
    <col min="24" max="24" width="12.44140625" style="29" customWidth="1"/>
    <col min="25" max="16384" width="9" style="29"/>
  </cols>
  <sheetData>
    <row r="2" spans="1:25" ht="9" customHeight="1">
      <c r="C2" s="455" t="s">
        <v>137</v>
      </c>
      <c r="D2" s="455"/>
      <c r="E2" s="455"/>
      <c r="F2" s="455"/>
      <c r="G2" s="455"/>
      <c r="H2" s="455"/>
      <c r="I2" s="455"/>
      <c r="J2" s="455"/>
      <c r="K2" s="455"/>
      <c r="L2" s="455"/>
    </row>
    <row r="3" spans="1:25" ht="15.75" customHeight="1">
      <c r="C3" s="455"/>
      <c r="D3" s="455"/>
      <c r="E3" s="455"/>
      <c r="F3" s="455"/>
      <c r="G3" s="455"/>
      <c r="H3" s="455"/>
      <c r="I3" s="455"/>
      <c r="J3" s="455"/>
      <c r="K3" s="455"/>
      <c r="L3" s="455"/>
    </row>
    <row r="4" spans="1:25" ht="9" customHeight="1">
      <c r="C4" s="455"/>
      <c r="D4" s="455"/>
      <c r="E4" s="455"/>
      <c r="F4" s="455"/>
      <c r="G4" s="455"/>
      <c r="H4" s="455"/>
      <c r="I4" s="455"/>
      <c r="J4" s="455"/>
      <c r="K4" s="455"/>
      <c r="L4" s="455"/>
    </row>
    <row r="5" spans="1:25" ht="8.25" customHeight="1">
      <c r="B5" s="102"/>
      <c r="C5" s="102"/>
      <c r="D5" s="31"/>
      <c r="E5" s="31"/>
      <c r="F5" s="31"/>
      <c r="G5" s="31"/>
      <c r="H5" s="31"/>
      <c r="I5" s="31"/>
      <c r="J5" s="31"/>
      <c r="K5" s="31"/>
      <c r="L5" s="31"/>
      <c r="M5" s="31"/>
      <c r="N5" s="62"/>
      <c r="O5" s="62"/>
      <c r="P5" s="62"/>
    </row>
    <row r="6" spans="1:25">
      <c r="C6" s="123">
        <v>45955</v>
      </c>
      <c r="D6" s="64">
        <f>WEEKDAY(C6)</f>
        <v>7</v>
      </c>
      <c r="E6" s="29" t="s">
        <v>84</v>
      </c>
      <c r="J6" s="62"/>
      <c r="K6" s="62"/>
      <c r="L6" s="62"/>
      <c r="M6" s="62"/>
      <c r="N6" s="62"/>
      <c r="O6" s="62"/>
      <c r="P6" s="62"/>
    </row>
    <row r="7" spans="1:25">
      <c r="J7" s="62"/>
      <c r="K7" s="62"/>
      <c r="L7" s="62"/>
      <c r="M7" s="62"/>
      <c r="N7" s="62"/>
      <c r="O7" s="62"/>
      <c r="P7" s="62"/>
    </row>
    <row r="8" spans="1:25">
      <c r="D8" s="29" t="s">
        <v>75</v>
      </c>
      <c r="E8" s="29" t="s">
        <v>298</v>
      </c>
      <c r="G8" s="103"/>
      <c r="J8" s="103"/>
      <c r="K8" s="62"/>
      <c r="L8" s="104"/>
    </row>
    <row r="9" spans="1:25">
      <c r="D9" s="29" t="s">
        <v>168</v>
      </c>
      <c r="E9" s="103" t="s">
        <v>299</v>
      </c>
      <c r="F9" s="103"/>
      <c r="G9" s="103"/>
    </row>
    <row r="10" spans="1:25">
      <c r="E10" s="103"/>
      <c r="F10" s="103"/>
      <c r="G10" s="103"/>
    </row>
    <row r="12" spans="1:25" ht="18" thickBot="1">
      <c r="C12" s="29" t="s">
        <v>10</v>
      </c>
      <c r="K12" s="62"/>
      <c r="L12" s="62"/>
      <c r="M12" s="62"/>
      <c r="N12" s="62"/>
      <c r="O12" s="62"/>
      <c r="P12" s="62"/>
      <c r="Q12" s="29" t="s">
        <v>144</v>
      </c>
    </row>
    <row r="13" spans="1:25" ht="21" customHeight="1" thickBot="1">
      <c r="A13" s="201" t="s">
        <v>141</v>
      </c>
      <c r="B13" s="105" t="s">
        <v>131</v>
      </c>
      <c r="C13" s="69" t="s">
        <v>135</v>
      </c>
      <c r="D13" s="70" t="s">
        <v>1</v>
      </c>
      <c r="E13" s="71" t="s">
        <v>2</v>
      </c>
      <c r="F13" s="71" t="s">
        <v>136</v>
      </c>
      <c r="G13" s="197" t="s">
        <v>125</v>
      </c>
      <c r="H13" s="198" t="s">
        <v>126</v>
      </c>
      <c r="I13" s="198" t="s">
        <v>127</v>
      </c>
      <c r="J13" s="198" t="s">
        <v>128</v>
      </c>
      <c r="K13" s="198" t="s">
        <v>129</v>
      </c>
      <c r="L13" s="199" t="s">
        <v>130</v>
      </c>
      <c r="M13" s="236" t="s">
        <v>3</v>
      </c>
      <c r="N13" s="200" t="s">
        <v>202</v>
      </c>
      <c r="O13" s="200" t="s">
        <v>4</v>
      </c>
      <c r="Q13" s="47" t="s">
        <v>146</v>
      </c>
      <c r="R13" s="47" t="s">
        <v>135</v>
      </c>
      <c r="S13" s="47" t="s">
        <v>145</v>
      </c>
      <c r="T13" s="47" t="s">
        <v>136</v>
      </c>
      <c r="W13" s="47" t="s">
        <v>131</v>
      </c>
      <c r="X13" s="47" t="s">
        <v>165</v>
      </c>
    </row>
    <row r="14" spans="1:25" ht="21" customHeight="1">
      <c r="A14" s="251">
        <v>1</v>
      </c>
      <c r="B14" s="192" t="s">
        <v>176</v>
      </c>
      <c r="C14" s="129">
        <f>IF(D14="","",INDEX($R$14:$R$20,MATCH(テーブル2[[#This Row],[氏　　名]],$S$14:$S$20,0)))</f>
        <v>46032881</v>
      </c>
      <c r="D14" s="95" t="s">
        <v>149</v>
      </c>
      <c r="E14" s="96" t="str">
        <f>IF(テーブル2[[#This Row],[氏　　名]]="","",INDEX($Q$14:$Q$20,MATCH(テーブル2[[#This Row],[氏　　名]],$S$14:$S$20,0)))</f>
        <v>済美</v>
      </c>
      <c r="F14" s="191">
        <f>IF(テーブル2[[#This Row],[氏　　名]]="","",INDEX($T$14:$T$20,MATCH(テーブル2[[#This Row],[氏　　名]],$S$14:$S$20,0)))</f>
        <v>2</v>
      </c>
      <c r="G14" s="226"/>
      <c r="H14" s="227"/>
      <c r="I14" s="227"/>
      <c r="J14" s="227"/>
      <c r="K14" s="227"/>
      <c r="L14" s="228"/>
      <c r="M14" s="272" t="str">
        <f>IF(G14="","",SUM(G14:L14))</f>
        <v/>
      </c>
      <c r="N14" s="238"/>
      <c r="O14" s="238" t="str">
        <f>IF(M14="","",RANK(M14,$M$14:$M$20))</f>
        <v/>
      </c>
      <c r="Q14" s="47" t="s">
        <v>222</v>
      </c>
      <c r="R14" s="47">
        <v>44028964</v>
      </c>
      <c r="S14" s="47" t="s">
        <v>223</v>
      </c>
      <c r="T14" s="47">
        <v>1</v>
      </c>
      <c r="U14" s="29" t="str">
        <f>Q14&amp;1</f>
        <v>済美Ａ1</v>
      </c>
      <c r="W14" s="47">
        <v>4</v>
      </c>
      <c r="X14" s="194" t="str" cm="1">
        <f t="array" ref="X14">INDEX($S$14:$S$20,_xlfn.RANK.EQ(Y14,$Y$14:$Y$20,1))</f>
        <v>富松利信</v>
      </c>
      <c r="Y14" s="29">
        <v>0.96094591992259371</v>
      </c>
    </row>
    <row r="15" spans="1:25" ht="21" customHeight="1">
      <c r="A15" s="266">
        <v>2</v>
      </c>
      <c r="B15" s="192" t="s">
        <v>334</v>
      </c>
      <c r="C15" s="129">
        <f>IF(D15="","",INDEX($R$14:$R$20,MATCH(テーブル2[[#This Row],[氏　　名]],$S$14:$S$20,0)))</f>
        <v>46032653</v>
      </c>
      <c r="D15" s="95" t="s">
        <v>156</v>
      </c>
      <c r="E15" s="95" t="str">
        <f>IF(テーブル2[[#This Row],[氏　　名]]="","",INDEX($Q$14:$Q$20,MATCH(テーブル2[[#This Row],[氏　　名]],$S$14:$S$20,0)))</f>
        <v>関有知A</v>
      </c>
      <c r="F15" s="95">
        <f>IF(テーブル2[[#This Row],[氏　　名]]="","",INDEX($T$14:$T$20,MATCH(テーブル2[[#This Row],[氏　　名]],$S$14:$S$20,0)))</f>
        <v>2</v>
      </c>
      <c r="G15" s="267"/>
      <c r="H15" s="268"/>
      <c r="I15" s="268"/>
      <c r="J15" s="268"/>
      <c r="K15" s="268"/>
      <c r="L15" s="269"/>
      <c r="M15" s="270" t="str">
        <f>IF(G15="","",SUM(G15:L15))</f>
        <v/>
      </c>
      <c r="N15" s="271"/>
      <c r="O15" s="271" t="str">
        <f>IF(M15="","",RANK(M15,$M$14:$M$20))</f>
        <v/>
      </c>
      <c r="Q15" s="47" t="s">
        <v>222</v>
      </c>
      <c r="R15" s="47">
        <v>45030629</v>
      </c>
      <c r="S15" s="47" t="s">
        <v>224</v>
      </c>
      <c r="T15" s="47">
        <v>1</v>
      </c>
      <c r="U15" s="29" t="str">
        <f>Q15&amp;2</f>
        <v>済美Ａ2</v>
      </c>
      <c r="W15" s="47">
        <v>5</v>
      </c>
      <c r="X15" s="194" t="str" cm="1">
        <f t="array" ref="X15">INDEX($S$14:$S$20,_xlfn.RANK.EQ(Y15,$Y$14:$Y$20,1))</f>
        <v>金森　陸</v>
      </c>
      <c r="Y15" s="29">
        <v>0.62932525595572952</v>
      </c>
    </row>
    <row r="16" spans="1:25" ht="21" customHeight="1">
      <c r="A16" s="266">
        <v>3</v>
      </c>
      <c r="B16" s="192" t="s">
        <v>335</v>
      </c>
      <c r="C16" s="129">
        <f>IF(D16="","",INDEX($R$14:$R$20,MATCH(テーブル2[[#This Row],[氏　　名]],$S$14:$S$20,0)))</f>
        <v>44028964</v>
      </c>
      <c r="D16" s="95" t="s">
        <v>223</v>
      </c>
      <c r="E16" s="95" t="str">
        <f>IF(テーブル2[[#This Row],[氏　　名]]="","",INDEX($Q$14:$Q$20,MATCH(テーブル2[[#This Row],[氏　　名]],$S$14:$S$20,0)))</f>
        <v>済美Ａ</v>
      </c>
      <c r="F16" s="95">
        <f>IF(テーブル2[[#This Row],[氏　　名]]="","",INDEX($T$14:$T$20,MATCH(テーブル2[[#This Row],[氏　　名]],$S$14:$S$20,0)))</f>
        <v>1</v>
      </c>
      <c r="G16" s="267"/>
      <c r="H16" s="268"/>
      <c r="I16" s="268"/>
      <c r="J16" s="268"/>
      <c r="K16" s="268"/>
      <c r="L16" s="269"/>
      <c r="M16" s="270" t="str">
        <f t="shared" ref="M16:M18" si="0">IF(G16="","",SUM(G16:L16))</f>
        <v/>
      </c>
      <c r="N16" s="271"/>
      <c r="O16" s="271" t="str">
        <f t="shared" ref="O16:O18" si="1">IF(M16="","",RANK(M16,$M$14:$M$20))</f>
        <v/>
      </c>
      <c r="Q16" s="47" t="s">
        <v>222</v>
      </c>
      <c r="R16" s="47">
        <v>43028791</v>
      </c>
      <c r="S16" s="47" t="s">
        <v>225</v>
      </c>
      <c r="T16" s="47">
        <v>1</v>
      </c>
      <c r="U16" s="29" t="str">
        <f>Q16&amp;3</f>
        <v>済美Ａ3</v>
      </c>
      <c r="W16" s="47">
        <v>6</v>
      </c>
      <c r="X16" s="194" t="str" cm="1">
        <f t="array" ref="X16">INDEX($S$14:$S$20,_xlfn.RANK.EQ(Y16,$Y$14:$Y$20,1))</f>
        <v>加藤凜</v>
      </c>
      <c r="Y16" s="29">
        <v>0.21855880037211584</v>
      </c>
    </row>
    <row r="17" spans="1:25" ht="21" customHeight="1">
      <c r="A17" s="266">
        <v>4</v>
      </c>
      <c r="B17" s="192" t="s">
        <v>336</v>
      </c>
      <c r="C17" s="129">
        <f>IF(D17="","",INDEX($R$14:$R$20,MATCH(テーブル2[[#This Row],[氏　　名]],$S$14:$S$20,0)))</f>
        <v>46032654</v>
      </c>
      <c r="D17" s="95" t="s">
        <v>157</v>
      </c>
      <c r="E17" s="95" t="str">
        <f>IF(テーブル2[[#This Row],[氏　　名]]="","",INDEX($Q$14:$Q$20,MATCH(テーブル2[[#This Row],[氏　　名]],$S$14:$S$20,0)))</f>
        <v>関有知A</v>
      </c>
      <c r="F17" s="95">
        <f>IF(テーブル2[[#This Row],[氏　　名]]="","",INDEX($T$14:$T$20,MATCH(テーブル2[[#This Row],[氏　　名]],$S$14:$S$20,0)))</f>
        <v>2</v>
      </c>
      <c r="G17" s="267"/>
      <c r="H17" s="268"/>
      <c r="I17" s="268"/>
      <c r="J17" s="268"/>
      <c r="K17" s="268"/>
      <c r="L17" s="269"/>
      <c r="M17" s="270" t="str">
        <f>IF(G17="","",SUM(G17:L17))</f>
        <v/>
      </c>
      <c r="N17" s="271"/>
      <c r="O17" s="271" t="str">
        <f>IF(M17="","",RANK(M17,$M$14:$M$20))</f>
        <v/>
      </c>
      <c r="Q17" s="47" t="s">
        <v>230</v>
      </c>
      <c r="R17" s="47">
        <v>44029863</v>
      </c>
      <c r="S17" s="47" t="s">
        <v>251</v>
      </c>
      <c r="T17" s="47">
        <v>2</v>
      </c>
      <c r="U17" s="29" t="str">
        <f>Q17&amp;1</f>
        <v>関有知A1</v>
      </c>
      <c r="W17" s="47">
        <v>7</v>
      </c>
      <c r="X17" s="194" t="str" cm="1">
        <f t="array" ref="X17">INDEX($S$14:$S$20,_xlfn.RANK.EQ(Y17,$Y$14:$Y$20,1))</f>
        <v>後藤　慎吾</v>
      </c>
      <c r="Y17" s="29">
        <v>0.71320820830609866</v>
      </c>
    </row>
    <row r="18" spans="1:25" ht="21" customHeight="1">
      <c r="A18" s="266">
        <v>5</v>
      </c>
      <c r="B18" s="192" t="s">
        <v>337</v>
      </c>
      <c r="C18" s="129">
        <f>IF(D18="","",INDEX($R$14:$R$20,MATCH(テーブル2[[#This Row],[氏　　名]],$S$14:$S$20,0)))</f>
        <v>43028791</v>
      </c>
      <c r="D18" s="95" t="s">
        <v>225</v>
      </c>
      <c r="E18" s="95" t="str">
        <f>IF(テーブル2[[#This Row],[氏　　名]]="","",INDEX($Q$14:$Q$20,MATCH(テーブル2[[#This Row],[氏　　名]],$S$14:$S$20,0)))</f>
        <v>済美Ａ</v>
      </c>
      <c r="F18" s="95">
        <f>IF(テーブル2[[#This Row],[氏　　名]]="","",INDEX($T$14:$T$20,MATCH(テーブル2[[#This Row],[氏　　名]],$S$14:$S$20,0)))</f>
        <v>1</v>
      </c>
      <c r="G18" s="267"/>
      <c r="H18" s="268"/>
      <c r="I18" s="268"/>
      <c r="J18" s="268"/>
      <c r="K18" s="268"/>
      <c r="L18" s="269"/>
      <c r="M18" s="270" t="str">
        <f t="shared" si="0"/>
        <v/>
      </c>
      <c r="N18" s="271"/>
      <c r="O18" s="271" t="str">
        <f t="shared" si="1"/>
        <v/>
      </c>
      <c r="Q18" s="47" t="s">
        <v>230</v>
      </c>
      <c r="R18" s="47">
        <v>46032653</v>
      </c>
      <c r="S18" s="47" t="s">
        <v>156</v>
      </c>
      <c r="T18" s="47">
        <v>2</v>
      </c>
      <c r="U18" s="29" t="str">
        <f>Q18&amp;2</f>
        <v>関有知A2</v>
      </c>
      <c r="W18" s="47">
        <v>8</v>
      </c>
      <c r="X18" s="194" t="str" cm="1">
        <f t="array" ref="X18">INDEX($S$14:$S$20,_xlfn.RANK.EQ(Y18,$Y$14:$Y$20,1))</f>
        <v>福田隆人</v>
      </c>
      <c r="Y18" s="29">
        <v>0.30711954318608692</v>
      </c>
    </row>
    <row r="19" spans="1:25" ht="21" customHeight="1">
      <c r="A19" s="266">
        <v>6</v>
      </c>
      <c r="B19" s="192" t="s">
        <v>338</v>
      </c>
      <c r="C19" s="129">
        <f>IF(D19="","",INDEX($R$14:$R$20,MATCH(テーブル2[[#This Row],[氏　　名]],$S$14:$S$20,0)))</f>
        <v>44029863</v>
      </c>
      <c r="D19" s="95" t="s">
        <v>316</v>
      </c>
      <c r="E19" s="95" t="str">
        <f>IF(テーブル2[[#This Row],[氏　　名]]="","",INDEX($Q$14:$Q$20,MATCH(テーブル2[[#This Row],[氏　　名]],$S$14:$S$20,0)))</f>
        <v>関有知A</v>
      </c>
      <c r="F19" s="95">
        <f>IF(テーブル2[[#This Row],[氏　　名]]="","",INDEX($T$14:$T$20,MATCH(テーブル2[[#This Row],[氏　　名]],$S$14:$S$20,0)))</f>
        <v>2</v>
      </c>
      <c r="G19" s="267"/>
      <c r="H19" s="268"/>
      <c r="I19" s="268"/>
      <c r="J19" s="268"/>
      <c r="K19" s="268"/>
      <c r="L19" s="269"/>
      <c r="M19" s="270" t="str">
        <f>IF(G19="","",SUM(G19:L19))</f>
        <v/>
      </c>
      <c r="N19" s="271"/>
      <c r="O19" s="271" t="str">
        <f>IF(M19="","",RANK(M19,$M$14:$M$20))</f>
        <v/>
      </c>
      <c r="Q19" s="47" t="s">
        <v>230</v>
      </c>
      <c r="R19" s="47">
        <v>46032654</v>
      </c>
      <c r="S19" s="47" t="s">
        <v>157</v>
      </c>
      <c r="T19" s="47">
        <v>2</v>
      </c>
      <c r="U19" s="29" t="str">
        <f>Q19&amp;3</f>
        <v>関有知A3</v>
      </c>
      <c r="W19" s="47">
        <v>9</v>
      </c>
      <c r="X19" s="194" t="str" cm="1">
        <f t="array" ref="X19">INDEX($S$14:$S$20,_xlfn.RANK.EQ(Y19,$Y$14:$Y$20,1))</f>
        <v>澤村　魁里</v>
      </c>
      <c r="Y19" s="29">
        <v>0.5936639652398441</v>
      </c>
    </row>
    <row r="20" spans="1:25" ht="21" customHeight="1" thickBot="1">
      <c r="A20" s="266">
        <v>7</v>
      </c>
      <c r="B20" s="192" t="s">
        <v>339</v>
      </c>
      <c r="C20" s="253">
        <f>IF(D20="","",INDEX($R$14:$R$20,MATCH(テーブル2[[#This Row],[氏　　名]],$S$14:$S$20,0)))</f>
        <v>45030629</v>
      </c>
      <c r="D20" s="86" t="s">
        <v>224</v>
      </c>
      <c r="E20" s="121" t="str">
        <f>IF(テーブル2[[#This Row],[氏　　名]]="","",INDEX($Q$14:$Q$20,MATCH(テーブル2[[#This Row],[氏　　名]],$S$14:$S$20,0)))</f>
        <v>済美Ａ</v>
      </c>
      <c r="F20" s="252">
        <f>IF(テーブル2[[#This Row],[氏　　名]]="","",INDEX($T$14:$T$20,MATCH(テーブル2[[#This Row],[氏　　名]],$S$14:$S$20,0)))</f>
        <v>1</v>
      </c>
      <c r="G20" s="254"/>
      <c r="H20" s="255"/>
      <c r="I20" s="255"/>
      <c r="J20" s="255"/>
      <c r="K20" s="255"/>
      <c r="L20" s="256"/>
      <c r="M20" s="273" t="str">
        <f>IF(G20="","",SUM(G20:L20))</f>
        <v/>
      </c>
      <c r="N20" s="239"/>
      <c r="O20" s="239" t="str">
        <f>IF(M20="","",RANK(M20,$M$14:$M$20))</f>
        <v/>
      </c>
      <c r="Q20" s="47" t="s">
        <v>227</v>
      </c>
      <c r="R20" s="47">
        <v>46032881</v>
      </c>
      <c r="S20" s="47" t="s">
        <v>149</v>
      </c>
      <c r="T20" s="47">
        <v>2</v>
      </c>
      <c r="W20" s="47">
        <v>10</v>
      </c>
      <c r="X20" s="194" t="str" cm="1">
        <f t="array" ref="X20">INDEX($S$14:$S$20,_xlfn.RANK.EQ(Y20,$Y$14:$Y$20,1))</f>
        <v>田邉陸玖</v>
      </c>
      <c r="Y20" s="29">
        <v>0.21904806244208574</v>
      </c>
    </row>
    <row r="21" spans="1:25" ht="21" customHeight="1">
      <c r="A21" s="202"/>
      <c r="C21" s="6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</row>
    <row r="22" spans="1:25" ht="21" customHeight="1">
      <c r="A22" s="202"/>
      <c r="C22" s="6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</row>
    <row r="23" spans="1:25" ht="21" customHeight="1">
      <c r="A23" s="202"/>
      <c r="C23" s="6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</row>
    <row r="24" spans="1:25" ht="21" customHeight="1" thickBot="1">
      <c r="A24" s="202"/>
      <c r="C24" s="62" t="s">
        <v>9</v>
      </c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Q24" s="29" t="s">
        <v>144</v>
      </c>
    </row>
    <row r="25" spans="1:25" ht="21" customHeight="1" thickBot="1">
      <c r="A25" s="221" t="s">
        <v>141</v>
      </c>
      <c r="B25" s="105" t="s">
        <v>131</v>
      </c>
      <c r="C25" s="69" t="s">
        <v>135</v>
      </c>
      <c r="D25" s="70" t="s">
        <v>1</v>
      </c>
      <c r="E25" s="71" t="s">
        <v>2</v>
      </c>
      <c r="F25" s="72" t="s">
        <v>136</v>
      </c>
      <c r="G25" s="197" t="s">
        <v>125</v>
      </c>
      <c r="H25" s="198" t="s">
        <v>126</v>
      </c>
      <c r="I25" s="198" t="s">
        <v>127</v>
      </c>
      <c r="J25" s="198" t="s">
        <v>128</v>
      </c>
      <c r="K25" s="198" t="s">
        <v>129</v>
      </c>
      <c r="L25" s="199" t="s">
        <v>130</v>
      </c>
      <c r="M25" s="200" t="s">
        <v>3</v>
      </c>
      <c r="N25" s="236" t="s">
        <v>202</v>
      </c>
      <c r="O25" s="200" t="s">
        <v>4</v>
      </c>
      <c r="Q25" s="47" t="s">
        <v>146</v>
      </c>
      <c r="R25" s="47" t="s">
        <v>135</v>
      </c>
      <c r="S25" s="47" t="s">
        <v>145</v>
      </c>
      <c r="T25" s="47" t="s">
        <v>136</v>
      </c>
      <c r="W25" s="47" t="s">
        <v>131</v>
      </c>
      <c r="X25" s="47" t="s">
        <v>232</v>
      </c>
    </row>
    <row r="26" spans="1:25" ht="21" customHeight="1">
      <c r="A26" s="222">
        <v>1</v>
      </c>
      <c r="B26" s="192" t="s">
        <v>188</v>
      </c>
      <c r="C26" s="193">
        <f>IF(テーブル1[[#This Row],[氏　　名]]="","",INDEX($R$26:$R$30,MATCH(テーブル1[[#This Row],[氏　　名]],$S$26:$S$30,0)))</f>
        <v>46032651</v>
      </c>
      <c r="D26" s="96" t="s">
        <v>163</v>
      </c>
      <c r="E26" s="96" t="str">
        <f>IF(テーブル1[[#This Row],[氏　　名]]="","",INDEX($Q$26:$Q$30,MATCH(テーブル1[[#This Row],[氏　　名]],$S$26:$S$30,0)))</f>
        <v>関有知A</v>
      </c>
      <c r="F26" s="96">
        <f>IF(テーブル1[[#This Row],[氏　　名]]="","",INDEX($T$26:$T$30,MATCH(テーブル1[[#This Row],[氏　　名]],$S$26:$S$30,0)))</f>
        <v>2</v>
      </c>
      <c r="G26" s="189"/>
      <c r="H26" s="195"/>
      <c r="I26" s="195"/>
      <c r="J26" s="195"/>
      <c r="K26" s="195"/>
      <c r="L26" s="229"/>
      <c r="M26" s="235" t="str">
        <f>IF(G26="","",SUM(G26:L26))</f>
        <v/>
      </c>
      <c r="N26" s="237"/>
      <c r="O26" s="279" t="str">
        <f>IF(M26="","",RANK(M26,$M$26:$M$30))</f>
        <v/>
      </c>
      <c r="Q26" s="47" t="s">
        <v>230</v>
      </c>
      <c r="R26" s="47">
        <v>43028641</v>
      </c>
      <c r="S26" s="47" t="s">
        <v>229</v>
      </c>
      <c r="T26" s="47">
        <v>1</v>
      </c>
      <c r="U26" s="29" t="str">
        <f>Q26&amp;1</f>
        <v>関有知A1</v>
      </c>
      <c r="W26" s="47">
        <v>4</v>
      </c>
      <c r="X26" s="47" t="str" cm="1">
        <f t="array" ref="X26">INDEX($S$26:$S$30,_xlfn.RANK.EQ(Y26,$Y$26:$Y$30,1))</f>
        <v>藤田　千愛</v>
      </c>
      <c r="Y26" s="29">
        <v>0.3067973795258081</v>
      </c>
    </row>
    <row r="27" spans="1:25" ht="21" customHeight="1">
      <c r="A27" s="223">
        <v>2</v>
      </c>
      <c r="B27" s="192" t="s">
        <v>243</v>
      </c>
      <c r="C27" s="193">
        <f>IF(テーブル1[[#This Row],[氏　　名]]="","",INDEX($R$26:$R$30,MATCH(テーブル1[[#This Row],[氏　　名]],$S$26:$S$30,0)))</f>
        <v>46032690</v>
      </c>
      <c r="D27" s="95" t="s">
        <v>201</v>
      </c>
      <c r="E27" s="96" t="str">
        <f>IF(テーブル1[[#This Row],[氏　　名]]="","",INDEX($Q$26:$Q$30,MATCH(テーブル1[[#This Row],[氏　　名]],$S$26:$S$30,0)))</f>
        <v>郡上北</v>
      </c>
      <c r="F27" s="96">
        <f>IF(テーブル1[[#This Row],[氏　　名]]="","",INDEX($T$26:$T$30,MATCH(テーブル1[[#This Row],[氏　　名]],$S$26:$S$30,0)))</f>
        <v>2</v>
      </c>
      <c r="G27" s="190"/>
      <c r="H27" s="196"/>
      <c r="I27" s="196"/>
      <c r="J27" s="196"/>
      <c r="K27" s="196"/>
      <c r="L27" s="230"/>
      <c r="M27" s="235" t="str">
        <f>IF(G27="","",SUM(G27:L27))</f>
        <v/>
      </c>
      <c r="N27" s="225"/>
      <c r="O27" s="279" t="str">
        <f>IF(M27="","",RANK(M27,$M$26:$M$30))</f>
        <v/>
      </c>
      <c r="Q27" s="47" t="s">
        <v>230</v>
      </c>
      <c r="R27" s="47">
        <v>46032650</v>
      </c>
      <c r="S27" s="47" t="s">
        <v>162</v>
      </c>
      <c r="T27" s="47">
        <v>2</v>
      </c>
      <c r="U27" s="29" t="str">
        <f>Q27&amp;2</f>
        <v>関有知A2</v>
      </c>
      <c r="W27" s="47">
        <v>5</v>
      </c>
      <c r="X27" s="47" t="str" cm="1">
        <f t="array" ref="X27">INDEX($S$26:$S$30,_xlfn.RANK.EQ(Y27,$Y$26:$Y$30,1))</f>
        <v>狩野　由依奈</v>
      </c>
      <c r="Y27" s="29">
        <v>0.71162886336858189</v>
      </c>
    </row>
    <row r="28" spans="1:25" ht="21" customHeight="1">
      <c r="A28" s="222">
        <v>3</v>
      </c>
      <c r="B28" s="192" t="s">
        <v>178</v>
      </c>
      <c r="C28" s="193">
        <f>IF(テーブル1[[#This Row],[氏　　名]]="","",INDEX($R$26:$R$30,MATCH(テーブル1[[#This Row],[氏　　名]],$S$26:$S$30,0)))</f>
        <v>43028641</v>
      </c>
      <c r="D28" s="95" t="s">
        <v>229</v>
      </c>
      <c r="E28" s="96" t="str">
        <f>IF(テーブル1[[#This Row],[氏　　名]]="","",INDEX($Q$26:$Q$30,MATCH(テーブル1[[#This Row],[氏　　名]],$S$26:$S$30,0)))</f>
        <v>関有知A</v>
      </c>
      <c r="F28" s="96">
        <f>IF(テーブル1[[#This Row],[氏　　名]]="","",INDEX($T$26:$T$30,MATCH(テーブル1[[#This Row],[氏　　名]],$S$26:$S$30,0)))</f>
        <v>1</v>
      </c>
      <c r="G28" s="190"/>
      <c r="H28" s="196"/>
      <c r="I28" s="196"/>
      <c r="J28" s="196"/>
      <c r="K28" s="196"/>
      <c r="L28" s="230"/>
      <c r="M28" s="235" t="str">
        <f>IF(G28="","",SUM(G28:L28))</f>
        <v/>
      </c>
      <c r="N28" s="225"/>
      <c r="O28" s="279" t="str">
        <f>IF(M28="","",RANK(M28,$M$26:$M$30))</f>
        <v/>
      </c>
      <c r="Q28" s="47" t="s">
        <v>230</v>
      </c>
      <c r="R28" s="47">
        <v>46032651</v>
      </c>
      <c r="S28" s="47" t="s">
        <v>163</v>
      </c>
      <c r="T28" s="47">
        <v>2</v>
      </c>
      <c r="U28" s="29" t="str">
        <f>Q28&amp;3</f>
        <v>関有知A3</v>
      </c>
      <c r="W28" s="47">
        <v>6</v>
      </c>
      <c r="X28" s="47" t="str" cm="1">
        <f t="array" ref="X28">INDEX($S$26:$S$30,_xlfn.RANK.EQ(Y28,$Y$26:$Y$30,1))</f>
        <v>浅野　海空</v>
      </c>
      <c r="Y28" s="29">
        <v>0.15330596303101951</v>
      </c>
    </row>
    <row r="29" spans="1:25">
      <c r="A29" s="224">
        <v>4</v>
      </c>
      <c r="B29" s="276" t="s">
        <v>181</v>
      </c>
      <c r="C29" s="193">
        <f>IF(テーブル1[[#This Row],[氏　　名]]="","",INDEX($R$26:$R$30,MATCH(テーブル1[[#This Row],[氏　　名]],$S$26:$S$30,0)))</f>
        <v>46032650</v>
      </c>
      <c r="D29" s="280" t="s">
        <v>162</v>
      </c>
      <c r="E29" s="96" t="str">
        <f>IF(テーブル1[[#This Row],[氏　　名]]="","",INDEX($Q$26:$Q$30,MATCH(テーブル1[[#This Row],[氏　　名]],$S$26:$S$30,0)))</f>
        <v>関有知A</v>
      </c>
      <c r="F29" s="96">
        <f>IF(テーブル1[[#This Row],[氏　　名]]="","",INDEX($T$26:$T$30,MATCH(テーブル1[[#This Row],[氏　　名]],$S$26:$S$30,0)))</f>
        <v>2</v>
      </c>
      <c r="G29" s="274"/>
      <c r="H29" s="93"/>
      <c r="I29" s="119"/>
      <c r="J29" s="93"/>
      <c r="K29" s="93"/>
      <c r="L29" s="277"/>
      <c r="M29" s="235" t="str">
        <f>IF(G29="","",SUM(G29:L29))</f>
        <v/>
      </c>
      <c r="N29" s="285"/>
      <c r="O29" s="279" t="str">
        <f>IF(M29="","",RANK(M29,$M$26:$M$30))</f>
        <v/>
      </c>
      <c r="P29" s="62"/>
      <c r="Q29" s="47" t="s">
        <v>233</v>
      </c>
      <c r="R29" s="47">
        <v>46032649</v>
      </c>
      <c r="S29" s="47" t="s">
        <v>161</v>
      </c>
      <c r="T29" s="47">
        <v>2</v>
      </c>
      <c r="W29" s="47">
        <v>8</v>
      </c>
      <c r="X29" s="47" t="str" cm="1">
        <f t="array" ref="X29">INDEX($S$26:$S$30,_xlfn.RANK.EQ(Y29,$Y$26:$Y$30,1))</f>
        <v>三浦　柚希</v>
      </c>
      <c r="Y29" s="29">
        <v>0.19010394637651717</v>
      </c>
    </row>
    <row r="30" spans="1:25" ht="21" customHeight="1">
      <c r="B30" s="281" t="s">
        <v>228</v>
      </c>
      <c r="C30" s="193">
        <f>IF(テーブル1[[#This Row],[氏　　名]]="","",INDEX($R$26:$R$30,MATCH(テーブル1[[#This Row],[氏　　名]],$S$26:$S$30,0)))</f>
        <v>46032649</v>
      </c>
      <c r="D30" s="118" t="s">
        <v>161</v>
      </c>
      <c r="E30" s="96" t="str">
        <f>IF(テーブル1[[#This Row],[氏　　名]]="","",INDEX($Q$26:$Q$30,MATCH(テーブル1[[#This Row],[氏　　名]],$S$26:$S$30,0)))</f>
        <v>関有知</v>
      </c>
      <c r="F30" s="96">
        <f>IF(テーブル1[[#This Row],[氏　　名]]="","",INDEX($T$26:$T$30,MATCH(テーブル1[[#This Row],[氏　　名]],$S$26:$S$30,0)))</f>
        <v>2</v>
      </c>
      <c r="G30" s="282"/>
      <c r="H30" s="283"/>
      <c r="I30" s="284"/>
      <c r="J30" s="283"/>
      <c r="K30" s="283"/>
      <c r="L30" s="277"/>
      <c r="M30" s="278" t="str">
        <f>IF(G30="","",SUM(G30:L30))</f>
        <v/>
      </c>
      <c r="N30" s="286"/>
      <c r="O30" s="275" t="str">
        <f>IF(M30="","",RANK(M30,$M$26:$M$30))</f>
        <v/>
      </c>
      <c r="Q30" s="47" t="s">
        <v>171</v>
      </c>
      <c r="R30" s="47">
        <v>46032690</v>
      </c>
      <c r="S30" s="47" t="s">
        <v>201</v>
      </c>
      <c r="T30" s="47">
        <v>2</v>
      </c>
      <c r="W30" s="47">
        <v>10</v>
      </c>
      <c r="X30" s="47" t="str" cm="1">
        <f t="array" ref="X30">INDEX($S$26:$S$30,_xlfn.RANK.EQ(Y30,$Y$26:$Y$30,1))</f>
        <v>水野　音流</v>
      </c>
      <c r="Y30" s="29">
        <v>0.65597606279770437</v>
      </c>
    </row>
    <row r="31" spans="1:25" ht="21" customHeight="1"/>
    <row r="32" spans="1:25" ht="21" customHeight="1">
      <c r="B32" s="456"/>
      <c r="C32" s="456"/>
      <c r="D32" s="456"/>
    </row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</sheetData>
  <sortState ref="B30:M31">
    <sortCondition ref="B30:B31"/>
  </sortState>
  <mergeCells count="2">
    <mergeCell ref="C2:L4"/>
    <mergeCell ref="B32:D32"/>
  </mergeCells>
  <phoneticPr fontId="1"/>
  <conditionalFormatting sqref="G21:L29">
    <cfRule type="cellIs" dxfId="257" priority="3" stopIfTrue="1" operator="equal">
      <formula>101.9</formula>
    </cfRule>
  </conditionalFormatting>
  <conditionalFormatting sqref="G26:L30">
    <cfRule type="cellIs" dxfId="256" priority="1" operator="greaterThan">
      <formula>104.9</formula>
    </cfRule>
  </conditionalFormatting>
  <printOptions horizontalCentered="1"/>
  <pageMargins left="0" right="0" top="0.98425196850393704" bottom="0" header="0" footer="0"/>
  <pageSetup paperSize="9" scale="77" orientation="portrait" r:id="rId1"/>
  <headerFooter alignWithMargins="0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30"/>
  <sheetViews>
    <sheetView view="pageBreakPreview" zoomScaleNormal="100" zoomScaleSheetLayoutView="100" workbookViewId="0">
      <selection activeCell="D14" sqref="D14"/>
    </sheetView>
  </sheetViews>
  <sheetFormatPr defaultColWidth="9" defaultRowHeight="17.399999999999999"/>
  <cols>
    <col min="1" max="1" width="5.44140625" style="29" bestFit="1" customWidth="1"/>
    <col min="2" max="2" width="8.109375" style="98" bestFit="1" customWidth="1"/>
    <col min="3" max="3" width="11.88671875" style="98" bestFit="1" customWidth="1"/>
    <col min="4" max="4" width="13.33203125" style="29" customWidth="1"/>
    <col min="5" max="5" width="11.109375" style="29" customWidth="1"/>
    <col min="6" max="6" width="6.44140625" style="29" customWidth="1"/>
    <col min="7" max="12" width="8.109375" style="29" customWidth="1"/>
    <col min="13" max="13" width="8.33203125" style="29" customWidth="1"/>
    <col min="14" max="14" width="4.21875" style="29" customWidth="1"/>
    <col min="15" max="15" width="6.6640625" style="29" bestFit="1" customWidth="1"/>
    <col min="16" max="16" width="12.33203125" style="29" bestFit="1" customWidth="1"/>
    <col min="17" max="17" width="5.77734375" style="29" customWidth="1"/>
    <col min="18" max="16384" width="9" style="29"/>
  </cols>
  <sheetData>
    <row r="1" spans="1:17" ht="9" customHeight="1">
      <c r="D1" s="455" t="s">
        <v>138</v>
      </c>
      <c r="E1" s="455"/>
      <c r="F1" s="455"/>
      <c r="G1" s="455"/>
      <c r="H1" s="455"/>
      <c r="I1" s="455"/>
      <c r="J1" s="455"/>
      <c r="K1" s="455"/>
      <c r="L1" s="455"/>
    </row>
    <row r="2" spans="1:17" ht="9" customHeight="1">
      <c r="D2" s="455"/>
      <c r="E2" s="455"/>
      <c r="F2" s="455"/>
      <c r="G2" s="455"/>
      <c r="H2" s="455"/>
      <c r="I2" s="455"/>
      <c r="J2" s="455"/>
      <c r="K2" s="455"/>
      <c r="L2" s="455"/>
    </row>
    <row r="3" spans="1:17" ht="9" customHeight="1">
      <c r="D3" s="455"/>
      <c r="E3" s="455"/>
      <c r="F3" s="455"/>
      <c r="G3" s="455"/>
      <c r="H3" s="455"/>
      <c r="I3" s="455"/>
      <c r="J3" s="455"/>
      <c r="K3" s="455"/>
      <c r="L3" s="455"/>
    </row>
    <row r="4" spans="1:17" ht="8.25" customHeight="1">
      <c r="B4" s="102"/>
      <c r="C4" s="102"/>
      <c r="D4" s="31"/>
      <c r="E4" s="31"/>
      <c r="F4" s="31"/>
      <c r="G4" s="31"/>
      <c r="H4" s="31"/>
      <c r="I4" s="31"/>
      <c r="J4" s="31"/>
      <c r="K4" s="31"/>
      <c r="L4" s="31"/>
      <c r="M4" s="31"/>
      <c r="N4" s="62"/>
      <c r="O4" s="62"/>
      <c r="Q4" s="62"/>
    </row>
    <row r="5" spans="1:17">
      <c r="C5" s="63">
        <v>45955</v>
      </c>
      <c r="D5" s="64">
        <f>WEEKDAY(C5)</f>
        <v>7</v>
      </c>
      <c r="E5" s="29" t="s">
        <v>84</v>
      </c>
      <c r="J5" s="62"/>
      <c r="K5" s="62"/>
      <c r="L5" s="62"/>
      <c r="M5" s="62"/>
      <c r="N5" s="62"/>
      <c r="O5" s="62"/>
      <c r="Q5" s="62"/>
    </row>
    <row r="6" spans="1:17">
      <c r="J6" s="62"/>
      <c r="K6" s="62"/>
      <c r="L6" s="62"/>
      <c r="M6" s="62"/>
      <c r="N6" s="62"/>
      <c r="O6" s="62"/>
      <c r="Q6" s="62"/>
    </row>
    <row r="7" spans="1:17">
      <c r="D7" s="29" t="s">
        <v>75</v>
      </c>
      <c r="E7" s="29" t="s">
        <v>298</v>
      </c>
      <c r="G7" s="103"/>
      <c r="J7" s="103"/>
      <c r="K7" s="62"/>
      <c r="L7" s="104"/>
    </row>
    <row r="8" spans="1:17">
      <c r="D8" s="29" t="s">
        <v>168</v>
      </c>
      <c r="E8" s="103" t="s">
        <v>299</v>
      </c>
      <c r="F8" s="103"/>
      <c r="G8" s="103"/>
    </row>
    <row r="9" spans="1:17">
      <c r="E9" s="103"/>
      <c r="F9" s="103"/>
      <c r="G9" s="103"/>
    </row>
    <row r="11" spans="1:17" ht="18" thickBot="1">
      <c r="C11" s="29" t="s">
        <v>10</v>
      </c>
      <c r="K11" s="62"/>
      <c r="L11" s="62"/>
      <c r="M11" s="62"/>
      <c r="N11" s="62"/>
      <c r="O11" s="62"/>
      <c r="Q11" s="62"/>
    </row>
    <row r="12" spans="1:17" ht="21" customHeight="1" thickBot="1">
      <c r="A12" s="73" t="s">
        <v>203</v>
      </c>
      <c r="B12" s="105" t="s">
        <v>204</v>
      </c>
      <c r="C12" s="69" t="s">
        <v>205</v>
      </c>
      <c r="D12" s="70" t="s">
        <v>206</v>
      </c>
      <c r="E12" s="71" t="s">
        <v>207</v>
      </c>
      <c r="F12" s="72" t="s">
        <v>208</v>
      </c>
      <c r="G12" s="74" t="s">
        <v>125</v>
      </c>
      <c r="H12" s="70" t="s">
        <v>126</v>
      </c>
      <c r="I12" s="70" t="s">
        <v>127</v>
      </c>
      <c r="J12" s="70" t="s">
        <v>128</v>
      </c>
      <c r="K12" s="70" t="s">
        <v>129</v>
      </c>
      <c r="L12" s="72" t="s">
        <v>130</v>
      </c>
      <c r="M12" s="75" t="s">
        <v>209</v>
      </c>
      <c r="N12" s="220" t="s">
        <v>202</v>
      </c>
      <c r="O12" s="75" t="s">
        <v>210</v>
      </c>
    </row>
    <row r="13" spans="1:17" ht="21" customHeight="1">
      <c r="A13" s="250">
        <v>1</v>
      </c>
      <c r="B13" s="244" t="s">
        <v>234</v>
      </c>
      <c r="C13" s="129">
        <v>45030629</v>
      </c>
      <c r="D13" s="95" t="s">
        <v>224</v>
      </c>
      <c r="E13" s="95" t="s">
        <v>226</v>
      </c>
      <c r="F13" s="130">
        <v>1</v>
      </c>
      <c r="G13" s="211"/>
      <c r="H13" s="212"/>
      <c r="I13" s="212"/>
      <c r="J13" s="212"/>
      <c r="K13" s="212"/>
      <c r="L13" s="213"/>
      <c r="M13" s="232" t="str">
        <f t="shared" ref="M13:M14" si="0">IF(G13="","",SUM(G13:L13))</f>
        <v/>
      </c>
      <c r="N13" s="233"/>
      <c r="O13" s="234" t="str">
        <f>IF(M13="","",RANK(M13,$M$13:$M$14,0))</f>
        <v/>
      </c>
      <c r="P13" s="106"/>
      <c r="Q13" s="106"/>
    </row>
    <row r="14" spans="1:17" ht="21" customHeight="1" thickBot="1">
      <c r="A14" s="259">
        <v>2</v>
      </c>
      <c r="B14" s="108" t="s">
        <v>177</v>
      </c>
      <c r="C14" s="107" t="s">
        <v>235</v>
      </c>
      <c r="D14" s="95" t="s">
        <v>236</v>
      </c>
      <c r="E14" s="95" t="s">
        <v>226</v>
      </c>
      <c r="F14" s="130">
        <v>1</v>
      </c>
      <c r="G14" s="214"/>
      <c r="H14" s="215"/>
      <c r="I14" s="215"/>
      <c r="J14" s="215"/>
      <c r="K14" s="215"/>
      <c r="L14" s="216"/>
      <c r="M14" s="232" t="str">
        <f t="shared" si="0"/>
        <v/>
      </c>
      <c r="N14" s="231"/>
      <c r="O14" s="232" t="str">
        <f>IF(M14="","",RANK(M14,$M$13:$M$14,0))</f>
        <v/>
      </c>
      <c r="P14" s="106"/>
      <c r="Q14" s="106"/>
    </row>
    <row r="15" spans="1:17" ht="18" hidden="1" thickBot="1">
      <c r="D15" s="29" t="s">
        <v>10</v>
      </c>
      <c r="K15" s="62"/>
      <c r="L15" s="62"/>
      <c r="M15" s="62"/>
      <c r="N15" s="62"/>
      <c r="O15" s="62"/>
      <c r="Q15" s="62"/>
    </row>
    <row r="16" spans="1:17" ht="21" hidden="1" customHeight="1">
      <c r="B16" s="69"/>
      <c r="C16" s="69"/>
      <c r="D16" s="70" t="s">
        <v>1</v>
      </c>
      <c r="E16" s="458" t="s">
        <v>2</v>
      </c>
      <c r="F16" s="459"/>
      <c r="G16" s="70">
        <v>1</v>
      </c>
      <c r="H16" s="70">
        <v>2</v>
      </c>
      <c r="I16" s="70">
        <v>3</v>
      </c>
      <c r="J16" s="70">
        <v>4</v>
      </c>
      <c r="K16" s="70">
        <v>5</v>
      </c>
      <c r="L16" s="71">
        <v>6</v>
      </c>
      <c r="M16" s="74" t="s">
        <v>3</v>
      </c>
      <c r="O16" s="72" t="s">
        <v>4</v>
      </c>
    </row>
    <row r="17" spans="1:17" ht="21" hidden="1" customHeight="1">
      <c r="A17" s="29" t="str">
        <f t="shared" ref="A17:A26" si="1">O17</f>
        <v/>
      </c>
      <c r="B17" s="112">
        <v>1</v>
      </c>
      <c r="C17" s="112"/>
      <c r="D17" s="113"/>
      <c r="E17" s="114"/>
      <c r="F17" s="114"/>
      <c r="G17" s="91"/>
      <c r="H17" s="91"/>
      <c r="I17" s="115"/>
      <c r="J17" s="91"/>
      <c r="K17" s="91"/>
      <c r="L17" s="91"/>
      <c r="M17" s="91" t="str">
        <f t="shared" ref="M17:M26" si="2">IF(G17="","",SUM(G17:L17))</f>
        <v/>
      </c>
      <c r="O17" s="92" t="str">
        <f t="shared" ref="O17:O26" si="3">IF(M17="","",RANK(M17,$M$17:$M$26))</f>
        <v/>
      </c>
      <c r="Q17" s="106"/>
    </row>
    <row r="18" spans="1:17" ht="21" hidden="1" customHeight="1">
      <c r="A18" s="29" t="str">
        <f t="shared" si="1"/>
        <v/>
      </c>
      <c r="B18" s="107">
        <v>2</v>
      </c>
      <c r="C18" s="116"/>
      <c r="D18" s="96"/>
      <c r="E18" s="96"/>
      <c r="F18" s="96"/>
      <c r="G18" s="93"/>
      <c r="H18" s="93"/>
      <c r="I18" s="93"/>
      <c r="J18" s="93"/>
      <c r="K18" s="117"/>
      <c r="L18" s="117"/>
      <c r="M18" s="93" t="str">
        <f t="shared" si="2"/>
        <v/>
      </c>
      <c r="O18" s="94" t="str">
        <f t="shared" si="3"/>
        <v/>
      </c>
      <c r="Q18" s="106"/>
    </row>
    <row r="19" spans="1:17" ht="21" hidden="1" customHeight="1">
      <c r="A19" s="29" t="str">
        <f t="shared" si="1"/>
        <v/>
      </c>
      <c r="B19" s="107">
        <v>3</v>
      </c>
      <c r="C19" s="107"/>
      <c r="D19" s="95"/>
      <c r="E19" s="96"/>
      <c r="F19" s="96"/>
      <c r="G19" s="93"/>
      <c r="H19" s="93"/>
      <c r="I19" s="93"/>
      <c r="J19" s="93"/>
      <c r="K19" s="117"/>
      <c r="L19" s="117"/>
      <c r="M19" s="93" t="str">
        <f t="shared" si="2"/>
        <v/>
      </c>
      <c r="O19" s="94" t="str">
        <f t="shared" si="3"/>
        <v/>
      </c>
      <c r="Q19" s="106"/>
    </row>
    <row r="20" spans="1:17" ht="21" hidden="1" customHeight="1">
      <c r="A20" s="29" t="str">
        <f t="shared" si="1"/>
        <v/>
      </c>
      <c r="B20" s="107">
        <v>4</v>
      </c>
      <c r="C20" s="107"/>
      <c r="D20" s="118"/>
      <c r="E20" s="95"/>
      <c r="F20" s="95"/>
      <c r="G20" s="93"/>
      <c r="H20" s="93"/>
      <c r="I20" s="119"/>
      <c r="J20" s="93"/>
      <c r="K20" s="93"/>
      <c r="L20" s="93"/>
      <c r="M20" s="93" t="str">
        <f t="shared" si="2"/>
        <v/>
      </c>
      <c r="O20" s="94" t="str">
        <f t="shared" si="3"/>
        <v/>
      </c>
      <c r="Q20" s="106"/>
    </row>
    <row r="21" spans="1:17" ht="21" hidden="1" customHeight="1">
      <c r="A21" s="29" t="str">
        <f t="shared" si="1"/>
        <v/>
      </c>
      <c r="B21" s="107">
        <v>5</v>
      </c>
      <c r="C21" s="107"/>
      <c r="D21" s="95"/>
      <c r="E21" s="95"/>
      <c r="F21" s="95"/>
      <c r="G21" s="93"/>
      <c r="H21" s="93"/>
      <c r="I21" s="93"/>
      <c r="J21" s="93"/>
      <c r="K21" s="117"/>
      <c r="L21" s="117"/>
      <c r="M21" s="93" t="str">
        <f t="shared" si="2"/>
        <v/>
      </c>
      <c r="O21" s="94" t="str">
        <f t="shared" si="3"/>
        <v/>
      </c>
      <c r="Q21" s="106"/>
    </row>
    <row r="22" spans="1:17" ht="21" hidden="1" customHeight="1">
      <c r="A22" s="29" t="str">
        <f t="shared" si="1"/>
        <v/>
      </c>
      <c r="B22" s="107">
        <v>6</v>
      </c>
      <c r="C22" s="116"/>
      <c r="D22" s="96"/>
      <c r="E22" s="96"/>
      <c r="F22" s="96"/>
      <c r="G22" s="93"/>
      <c r="H22" s="93"/>
      <c r="I22" s="119"/>
      <c r="J22" s="93"/>
      <c r="K22" s="93"/>
      <c r="L22" s="93"/>
      <c r="M22" s="93" t="str">
        <f t="shared" si="2"/>
        <v/>
      </c>
      <c r="O22" s="94" t="str">
        <f t="shared" si="3"/>
        <v/>
      </c>
      <c r="Q22" s="106"/>
    </row>
    <row r="23" spans="1:17" ht="21" hidden="1" customHeight="1">
      <c r="A23" s="29" t="str">
        <f t="shared" si="1"/>
        <v/>
      </c>
      <c r="B23" s="107">
        <v>7</v>
      </c>
      <c r="C23" s="107"/>
      <c r="D23" s="95"/>
      <c r="E23" s="96"/>
      <c r="F23" s="96"/>
      <c r="G23" s="93"/>
      <c r="H23" s="93"/>
      <c r="I23" s="93"/>
      <c r="J23" s="93"/>
      <c r="K23" s="117"/>
      <c r="L23" s="117"/>
      <c r="M23" s="93" t="str">
        <f t="shared" si="2"/>
        <v/>
      </c>
      <c r="O23" s="94" t="str">
        <f t="shared" si="3"/>
        <v/>
      </c>
      <c r="Q23" s="106"/>
    </row>
    <row r="24" spans="1:17" ht="21" hidden="1" customHeight="1">
      <c r="A24" s="29" t="str">
        <f t="shared" si="1"/>
        <v/>
      </c>
      <c r="B24" s="107">
        <v>8</v>
      </c>
      <c r="C24" s="107"/>
      <c r="D24" s="118"/>
      <c r="E24" s="95"/>
      <c r="F24" s="95"/>
      <c r="G24" s="93"/>
      <c r="H24" s="93"/>
      <c r="I24" s="119"/>
      <c r="J24" s="93"/>
      <c r="K24" s="93"/>
      <c r="L24" s="93"/>
      <c r="M24" s="93" t="str">
        <f t="shared" si="2"/>
        <v/>
      </c>
      <c r="O24" s="94" t="str">
        <f t="shared" si="3"/>
        <v/>
      </c>
      <c r="Q24" s="106"/>
    </row>
    <row r="25" spans="1:17" ht="21" hidden="1" customHeight="1">
      <c r="A25" s="29" t="str">
        <f t="shared" si="1"/>
        <v/>
      </c>
      <c r="B25" s="107">
        <v>9</v>
      </c>
      <c r="C25" s="107"/>
      <c r="D25" s="95"/>
      <c r="E25" s="95"/>
      <c r="F25" s="95"/>
      <c r="G25" s="93"/>
      <c r="H25" s="93"/>
      <c r="I25" s="93"/>
      <c r="J25" s="93"/>
      <c r="K25" s="117"/>
      <c r="L25" s="117"/>
      <c r="M25" s="93" t="str">
        <f t="shared" si="2"/>
        <v/>
      </c>
      <c r="O25" s="94" t="str">
        <f t="shared" si="3"/>
        <v/>
      </c>
      <c r="Q25" s="106"/>
    </row>
    <row r="26" spans="1:17" ht="21" hidden="1" customHeight="1">
      <c r="A26" s="29" t="str">
        <f t="shared" si="1"/>
        <v/>
      </c>
      <c r="B26" s="109">
        <v>10</v>
      </c>
      <c r="C26" s="120"/>
      <c r="D26" s="121"/>
      <c r="E26" s="121"/>
      <c r="F26" s="121"/>
      <c r="G26" s="110"/>
      <c r="H26" s="110"/>
      <c r="I26" s="122"/>
      <c r="J26" s="110"/>
      <c r="K26" s="110"/>
      <c r="L26" s="110"/>
      <c r="M26" s="110" t="str">
        <f t="shared" si="2"/>
        <v/>
      </c>
      <c r="O26" s="111" t="str">
        <f t="shared" si="3"/>
        <v/>
      </c>
      <c r="Q26" s="106"/>
    </row>
    <row r="27" spans="1:17">
      <c r="B27" s="457"/>
      <c r="C27" s="457"/>
      <c r="D27" s="457"/>
    </row>
    <row r="28" spans="1:17" ht="18" thickBot="1">
      <c r="C28" s="98" t="s">
        <v>9</v>
      </c>
    </row>
    <row r="29" spans="1:17" ht="21" customHeight="1" thickBot="1">
      <c r="A29" s="73" t="s">
        <v>203</v>
      </c>
      <c r="B29" s="105" t="s">
        <v>204</v>
      </c>
      <c r="C29" s="69" t="s">
        <v>205</v>
      </c>
      <c r="D29" s="70" t="s">
        <v>206</v>
      </c>
      <c r="E29" s="71" t="s">
        <v>207</v>
      </c>
      <c r="F29" s="72" t="s">
        <v>208</v>
      </c>
      <c r="G29" s="74" t="s">
        <v>125</v>
      </c>
      <c r="H29" s="70" t="s">
        <v>126</v>
      </c>
      <c r="I29" s="70" t="s">
        <v>127</v>
      </c>
      <c r="J29" s="70" t="s">
        <v>128</v>
      </c>
      <c r="K29" s="70" t="s">
        <v>129</v>
      </c>
      <c r="L29" s="72" t="s">
        <v>130</v>
      </c>
      <c r="M29" s="75" t="s">
        <v>209</v>
      </c>
      <c r="N29" s="220" t="s">
        <v>202</v>
      </c>
      <c r="O29" s="75" t="s">
        <v>210</v>
      </c>
    </row>
    <row r="30" spans="1:17" ht="21" customHeight="1">
      <c r="A30" s="250">
        <v>1</v>
      </c>
      <c r="B30" s="244" t="s">
        <v>134</v>
      </c>
      <c r="C30" s="129">
        <v>44028962</v>
      </c>
      <c r="D30" s="95" t="s">
        <v>237</v>
      </c>
      <c r="E30" s="95" t="s">
        <v>238</v>
      </c>
      <c r="F30" s="130">
        <v>1</v>
      </c>
      <c r="G30" s="211"/>
      <c r="H30" s="212"/>
      <c r="I30" s="212"/>
      <c r="J30" s="212"/>
      <c r="K30" s="212"/>
      <c r="L30" s="213"/>
      <c r="M30" s="232" t="str">
        <f t="shared" ref="M30" si="4">IF(G30="","",SUM(G30:L30))</f>
        <v/>
      </c>
      <c r="N30" s="233"/>
      <c r="O30" s="234" t="str">
        <f>IF(M30="","",RANK(M30,$M$13:$M$14,0))</f>
        <v/>
      </c>
      <c r="P30" s="106"/>
      <c r="Q30" s="106"/>
    </row>
  </sheetData>
  <mergeCells count="3">
    <mergeCell ref="B27:D27"/>
    <mergeCell ref="D1:L3"/>
    <mergeCell ref="E16:F16"/>
  </mergeCells>
  <phoneticPr fontId="1"/>
  <conditionalFormatting sqref="G13:L26">
    <cfRule type="cellIs" dxfId="218" priority="4" stopIfTrue="1" operator="equal">
      <formula>101.9</formula>
    </cfRule>
  </conditionalFormatting>
  <conditionalFormatting sqref="G30:L30">
    <cfRule type="cellIs" dxfId="217" priority="2" stopIfTrue="1" operator="equal">
      <formula>101.9</formula>
    </cfRule>
  </conditionalFormatting>
  <conditionalFormatting sqref="M13:M14">
    <cfRule type="cellIs" dxfId="216" priority="3" stopIfTrue="1" operator="greaterThan">
      <formula>609.9</formula>
    </cfRule>
  </conditionalFormatting>
  <conditionalFormatting sqref="M17:M26">
    <cfRule type="cellIs" dxfId="215" priority="5" stopIfTrue="1" operator="greaterThan">
      <formula>409.9</formula>
    </cfRule>
  </conditionalFormatting>
  <conditionalFormatting sqref="M30">
    <cfRule type="cellIs" dxfId="214" priority="1" stopIfTrue="1" operator="greaterThan">
      <formula>609.9</formula>
    </cfRule>
  </conditionalFormatting>
  <printOptions horizontalCentered="1"/>
  <pageMargins left="0" right="0" top="0.98425196850393704" bottom="0" header="0" footer="0"/>
  <pageSetup paperSize="9" scale="85" orientation="portrait" r:id="rId1"/>
  <headerFooter alignWithMargins="0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FF00"/>
    <pageSetUpPr fitToPage="1"/>
  </sheetPr>
  <dimension ref="A1:AA77"/>
  <sheetViews>
    <sheetView view="pageBreakPreview" topLeftCell="A12" zoomScaleNormal="100" zoomScaleSheetLayoutView="100" workbookViewId="0">
      <selection activeCell="P27" sqref="P27:S29"/>
    </sheetView>
  </sheetViews>
  <sheetFormatPr defaultColWidth="9" defaultRowHeight="17.399999999999999"/>
  <cols>
    <col min="1" max="1" width="5.109375" style="29" customWidth="1"/>
    <col min="2" max="2" width="8" style="90" customWidth="1"/>
    <col min="3" max="3" width="13.21875" style="90" customWidth="1"/>
    <col min="4" max="4" width="15" style="29" customWidth="1"/>
    <col min="5" max="5" width="11.109375" style="29" bestFit="1" customWidth="1"/>
    <col min="6" max="6" width="5.77734375" style="29" customWidth="1"/>
    <col min="7" max="12" width="8.109375" style="29" customWidth="1"/>
    <col min="13" max="13" width="8.33203125" style="62" customWidth="1"/>
    <col min="14" max="14" width="6.44140625" style="62" customWidth="1"/>
    <col min="15" max="15" width="2.109375" style="29" customWidth="1"/>
    <col min="16" max="16" width="9" style="62"/>
    <col min="17" max="17" width="10.88671875" style="29" bestFit="1" customWidth="1"/>
    <col min="18" max="18" width="13.21875" style="29" bestFit="1" customWidth="1"/>
    <col min="19" max="19" width="5.44140625" style="29" bestFit="1" customWidth="1"/>
    <col min="20" max="21" width="9.109375" style="29" bestFit="1" customWidth="1"/>
    <col min="22" max="23" width="12.21875" style="29" customWidth="1"/>
    <col min="24" max="24" width="12.88671875" style="29" customWidth="1"/>
    <col min="25" max="25" width="12.21875" style="29" customWidth="1"/>
    <col min="26" max="26" width="11.77734375" style="29" customWidth="1"/>
    <col min="27" max="27" width="11.6640625" style="29" customWidth="1"/>
    <col min="28" max="16384" width="9" style="29"/>
  </cols>
  <sheetData>
    <row r="1" spans="1:27" ht="9" customHeight="1">
      <c r="C1" s="455" t="s">
        <v>139</v>
      </c>
      <c r="D1" s="455"/>
      <c r="E1" s="455"/>
      <c r="F1" s="455"/>
      <c r="G1" s="455"/>
      <c r="H1" s="455"/>
      <c r="I1" s="455"/>
      <c r="J1" s="455"/>
      <c r="K1" s="455"/>
      <c r="L1" s="455"/>
      <c r="M1" s="29"/>
      <c r="N1" s="29"/>
      <c r="P1" s="29"/>
    </row>
    <row r="2" spans="1:27" ht="9" customHeight="1"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29"/>
      <c r="N2" s="29"/>
      <c r="P2" s="29"/>
    </row>
    <row r="3" spans="1:27" ht="9" customHeight="1"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29"/>
      <c r="N3" s="29"/>
      <c r="P3" s="29"/>
    </row>
    <row r="4" spans="1:27" ht="8.25" customHeight="1"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27" ht="21.6">
      <c r="C5" s="63">
        <v>45956</v>
      </c>
      <c r="D5" s="64">
        <f>WEEKDAY(C5)</f>
        <v>1</v>
      </c>
      <c r="E5" s="29" t="s">
        <v>117</v>
      </c>
      <c r="J5" s="31"/>
      <c r="K5" s="31"/>
      <c r="L5" s="31"/>
      <c r="M5" s="31"/>
    </row>
    <row r="6" spans="1:27" ht="21.6">
      <c r="J6" s="31"/>
      <c r="K6" s="31"/>
      <c r="L6" s="31"/>
      <c r="M6" s="31"/>
    </row>
    <row r="7" spans="1:27" ht="15" customHeight="1">
      <c r="D7" s="29" t="s">
        <v>110</v>
      </c>
      <c r="E7" s="43" t="s">
        <v>111</v>
      </c>
      <c r="H7" s="29" t="s">
        <v>112</v>
      </c>
      <c r="J7" s="43" t="s">
        <v>107</v>
      </c>
      <c r="L7" s="66"/>
      <c r="M7" s="66"/>
      <c r="N7" s="66"/>
    </row>
    <row r="8" spans="1:27" ht="15" customHeight="1">
      <c r="D8" s="29" t="s">
        <v>76</v>
      </c>
      <c r="E8" s="29" t="s">
        <v>108</v>
      </c>
      <c r="H8" s="29" t="s">
        <v>296</v>
      </c>
      <c r="J8" s="43" t="s">
        <v>300</v>
      </c>
      <c r="L8" s="66"/>
      <c r="M8" s="66"/>
      <c r="N8" s="66"/>
    </row>
    <row r="9" spans="1:27" ht="15" customHeight="1">
      <c r="D9" s="29" t="s">
        <v>95</v>
      </c>
      <c r="E9" s="29" t="s">
        <v>109</v>
      </c>
      <c r="H9" s="29" t="s">
        <v>297</v>
      </c>
      <c r="J9" s="29" t="s">
        <v>301</v>
      </c>
      <c r="K9" s="66"/>
      <c r="L9" s="66"/>
      <c r="M9" s="66"/>
      <c r="N9" s="66"/>
    </row>
    <row r="10" spans="1:27" ht="15" customHeight="1">
      <c r="D10" s="66"/>
      <c r="G10" s="66"/>
      <c r="H10" s="66"/>
      <c r="I10" s="66"/>
      <c r="J10" s="66"/>
      <c r="K10" s="66"/>
      <c r="L10" s="66"/>
      <c r="M10" s="66"/>
      <c r="N10" s="66"/>
    </row>
    <row r="11" spans="1:27" ht="18" thickBot="1">
      <c r="A11" s="219"/>
      <c r="D11" s="29" t="s">
        <v>10</v>
      </c>
      <c r="K11" s="62"/>
      <c r="L11" s="62"/>
      <c r="M11" s="73"/>
      <c r="N11" s="73"/>
      <c r="P11" s="29" t="s">
        <v>144</v>
      </c>
    </row>
    <row r="12" spans="1:27" ht="21" customHeight="1" thickBot="1">
      <c r="A12" s="124" t="s">
        <v>141</v>
      </c>
      <c r="B12" s="105" t="s">
        <v>131</v>
      </c>
      <c r="C12" s="69" t="s">
        <v>135</v>
      </c>
      <c r="D12" s="70" t="s">
        <v>1</v>
      </c>
      <c r="E12" s="71" t="s">
        <v>2</v>
      </c>
      <c r="F12" s="72" t="s">
        <v>136</v>
      </c>
      <c r="G12" s="176" t="s">
        <v>125</v>
      </c>
      <c r="H12" s="70" t="s">
        <v>126</v>
      </c>
      <c r="I12" s="70" t="s">
        <v>127</v>
      </c>
      <c r="J12" s="70" t="s">
        <v>128</v>
      </c>
      <c r="K12" s="70" t="s">
        <v>129</v>
      </c>
      <c r="L12" s="72" t="s">
        <v>130</v>
      </c>
      <c r="M12" s="128" t="s">
        <v>3</v>
      </c>
      <c r="N12" s="75" t="s">
        <v>4</v>
      </c>
      <c r="P12" s="47" t="s">
        <v>146</v>
      </c>
      <c r="Q12" s="47" t="s">
        <v>135</v>
      </c>
      <c r="R12" s="47" t="s">
        <v>145</v>
      </c>
      <c r="S12" s="47" t="s">
        <v>136</v>
      </c>
      <c r="U12" s="47" t="s">
        <v>131</v>
      </c>
      <c r="V12" s="47" t="s">
        <v>165</v>
      </c>
      <c r="W12" s="47" t="s">
        <v>168</v>
      </c>
      <c r="X12" s="47" t="s">
        <v>169</v>
      </c>
      <c r="Y12" s="44" t="s">
        <v>170</v>
      </c>
      <c r="Z12" s="47" t="s">
        <v>296</v>
      </c>
      <c r="AA12" s="47" t="s">
        <v>297</v>
      </c>
    </row>
    <row r="13" spans="1:27" ht="21" customHeight="1">
      <c r="A13" s="126">
        <v>1</v>
      </c>
      <c r="B13" s="315" t="s">
        <v>134</v>
      </c>
      <c r="C13" s="316">
        <f>IF(テーブル3[[#This Row],[氏　　名]]="","",INDEX($Q$13:$Q$34,MATCH(テーブル3[[#This Row],[氏　　名]],$R$13:$R$34,0)))</f>
        <v>46032656</v>
      </c>
      <c r="D13" s="156" t="s">
        <v>159</v>
      </c>
      <c r="E13" s="156" t="str">
        <f>IF(テーブル3[[#This Row],[氏　　名]]="","",INDEX($P$13:$P$34,MATCH(D13,$R$13:$R$34,0)))</f>
        <v>関有知B</v>
      </c>
      <c r="F13" s="317">
        <f>IF(テーブル3[[#This Row],[氏　　名]]="","",INDEX($S$13:$S$34,MATCH(D13,$R$13:$R$34,0)))</f>
        <v>2</v>
      </c>
      <c r="G13" s="311"/>
      <c r="H13" s="203"/>
      <c r="I13" s="203"/>
      <c r="J13" s="203"/>
      <c r="K13" s="203"/>
      <c r="L13" s="204"/>
      <c r="M13" s="240" t="str">
        <f>IF(G13="","",SUM(G13:L13))</f>
        <v/>
      </c>
      <c r="N13" s="170" t="str">
        <f t="shared" ref="N13:N34" si="0">IF(M13="","",RANK(M13,$M$13:$M$34))</f>
        <v/>
      </c>
      <c r="P13" s="47" t="s">
        <v>221</v>
      </c>
      <c r="Q13" s="47">
        <v>44028964</v>
      </c>
      <c r="R13" s="47" t="s">
        <v>257</v>
      </c>
      <c r="S13" s="47">
        <v>1</v>
      </c>
      <c r="T13" s="29" t="str">
        <f>P13&amp;1</f>
        <v>済美Ａ1</v>
      </c>
      <c r="U13" s="47">
        <v>1</v>
      </c>
      <c r="V13" s="47" t="str" cm="1">
        <f t="array" ref="V13">INDEX($R$13:$R$34,_xlfn.RANK.EQ(V19,$V$19:$AA$24,1))</f>
        <v>武藤　弘歩</v>
      </c>
      <c r="W13" s="47" t="str" cm="1">
        <f t="array" ref="W13">INDEX($R$13:$R$34,_xlfn.RANK.EQ(W19,$V$19:$AA$24,1))</f>
        <v>松本　峻介</v>
      </c>
      <c r="X13" s="47" t="str" cm="1">
        <f t="array" ref="X13">INDEX($R$13:$R$34,_xlfn.RANK.EQ(X19,$V$19:$AA$24,1))</f>
        <v>井口蒼太</v>
      </c>
      <c r="Y13" s="47" t="str" cm="1">
        <f t="array" ref="Y13">INDEX($R$13:$R$34,_xlfn.RANK.EQ(Y19,$V$19:$AA$24,1))</f>
        <v>永澤　京誠</v>
      </c>
      <c r="Z13" s="47" t="str" cm="1">
        <f t="array" ref="Z13">INDEX($R$13:$R$34,_xlfn.RANK.EQ(Z19,$V$19:$AA$24,1))</f>
        <v>森島礼真</v>
      </c>
      <c r="AA13" s="47" t="str" cm="1">
        <f t="array" ref="AA13">INDEX($R$13:$R$34,_xlfn.RANK.EQ(AA19,$V$19:$AA$24,1))</f>
        <v>春日井　月暉</v>
      </c>
    </row>
    <row r="14" spans="1:27" ht="21" customHeight="1">
      <c r="A14" s="127">
        <v>2</v>
      </c>
      <c r="B14" s="181" t="s">
        <v>132</v>
      </c>
      <c r="C14" s="155">
        <f>IF(テーブル3[[#This Row],[氏　　名]]="","",INDEX($Q$13:$Q$34,MATCH(テーブル3[[#This Row],[氏　　名]],$R$13:$R$34,0)))</f>
        <v>47034299</v>
      </c>
      <c r="D14" s="81" t="s">
        <v>255</v>
      </c>
      <c r="E14" s="81" t="str">
        <f>IF(テーブル3[[#This Row],[氏　　名]]="","",INDEX($P$13:$P$34,MATCH(D14,$R$13:$R$34,0)))</f>
        <v>関有知</v>
      </c>
      <c r="F14" s="94">
        <f>IF(テーブル3[[#This Row],[氏　　名]]="","",INDEX($S$13:$S$34,MATCH(D14,$R$13:$R$34,0)))</f>
        <v>1</v>
      </c>
      <c r="G14" s="311"/>
      <c r="H14" s="205"/>
      <c r="I14" s="205"/>
      <c r="J14" s="205"/>
      <c r="K14" s="205"/>
      <c r="L14" s="206"/>
      <c r="M14" s="241" t="str">
        <f t="shared" ref="M14:M34" si="1">IF(G14="","",SUM(G14:L14))</f>
        <v/>
      </c>
      <c r="N14" s="183" t="str">
        <f t="shared" si="0"/>
        <v/>
      </c>
      <c r="P14" s="47" t="s">
        <v>221</v>
      </c>
      <c r="Q14" s="47">
        <v>45030629</v>
      </c>
      <c r="R14" s="47" t="s">
        <v>224</v>
      </c>
      <c r="S14" s="47">
        <v>1</v>
      </c>
      <c r="T14" s="29" t="str">
        <f>P14&amp;2</f>
        <v>済美Ａ2</v>
      </c>
      <c r="U14" s="47">
        <v>2</v>
      </c>
      <c r="V14" s="47" t="str" cm="1">
        <f t="array" ref="V14">INDEX($R$13:$R$34,_xlfn.RANK.EQ(V20,$V$19:$AA$24,1))</f>
        <v>野崎　絆太</v>
      </c>
      <c r="W14" s="47" t="str" cm="1">
        <f t="array" ref="W14">INDEX($R$13:$R$34,_xlfn.RANK.EQ(W20,$V$19:$AA$24,1))</f>
        <v>青山　燕空</v>
      </c>
      <c r="X14" s="47" t="str" cm="1">
        <f t="array" ref="X14">INDEX($R$13:$R$34,_xlfn.RANK.EQ(X20,$V$19:$AA$24,1))</f>
        <v>田邉陸玖</v>
      </c>
      <c r="Y14" s="47" t="str" cm="1">
        <f t="array" ref="Y14">INDEX($R$13:$R$34,_xlfn.RANK.EQ(Y20,$V$19:$AA$24,1))</f>
        <v>福田隆人</v>
      </c>
      <c r="Z14" s="47" t="str" cm="1">
        <f t="array" ref="Z14">INDEX($R$13:$R$34,_xlfn.RANK.EQ(Z20,$V$19:$AA$24,1))</f>
        <v>金森　陸</v>
      </c>
      <c r="AA14" s="47" t="str" cm="1">
        <f t="array" ref="AA14">INDEX($R$13:$R$34,_xlfn.RANK.EQ(AA20,$V$19:$AA$24,1))</f>
        <v>足立蓮次</v>
      </c>
    </row>
    <row r="15" spans="1:27" ht="21" customHeight="1">
      <c r="A15" s="127">
        <v>3</v>
      </c>
      <c r="B15" s="181" t="s">
        <v>133</v>
      </c>
      <c r="C15" s="155">
        <f>IF(テーブル3[[#This Row],[氏　　名]]="","",INDEX($Q$13:$Q$34,MATCH(テーブル3[[#This Row],[氏　　名]],$R$13:$R$34,0)))</f>
        <v>46032673</v>
      </c>
      <c r="D15" s="81" t="s">
        <v>154</v>
      </c>
      <c r="E15" s="81" t="str">
        <f>IF(テーブル3[[#This Row],[氏　　名]]="","",INDEX($P$13:$P$34,MATCH(D15,$R$13:$R$34,0)))</f>
        <v>大垣日大</v>
      </c>
      <c r="F15" s="94">
        <f>IF(テーブル3[[#This Row],[氏　　名]]="","",INDEX($S$13:$S$34,MATCH(D15,$R$13:$R$34,0)))</f>
        <v>2</v>
      </c>
      <c r="G15" s="311"/>
      <c r="H15" s="205"/>
      <c r="I15" s="205"/>
      <c r="J15" s="205"/>
      <c r="K15" s="205"/>
      <c r="L15" s="206"/>
      <c r="M15" s="241" t="str">
        <f t="shared" si="1"/>
        <v/>
      </c>
      <c r="N15" s="183" t="str">
        <f t="shared" si="0"/>
        <v/>
      </c>
      <c r="P15" s="47" t="s">
        <v>221</v>
      </c>
      <c r="Q15" s="47">
        <v>43028791</v>
      </c>
      <c r="R15" s="47" t="s">
        <v>225</v>
      </c>
      <c r="S15" s="47">
        <v>1</v>
      </c>
      <c r="T15" s="29" t="str">
        <f>P15&amp;3</f>
        <v>済美Ａ3</v>
      </c>
      <c r="U15" s="47">
        <v>3</v>
      </c>
      <c r="V15" s="47" t="str" cm="1">
        <f t="array" ref="V15">INDEX($R$13:$R$34,_xlfn.RANK.EQ(V21,$V$19:$AA$24,1))</f>
        <v>田中　友貴</v>
      </c>
      <c r="W15" s="47" t="str" cm="1">
        <f t="array" ref="W15">INDEX($R$13:$R$34,_xlfn.RANK.EQ(W21,$V$19:$AA$24,1))</f>
        <v>富松利信</v>
      </c>
      <c r="X15" s="47" t="str" cm="1">
        <f t="array" ref="X15">INDEX($R$13:$R$34,_xlfn.RANK.EQ(X21,$V$19:$AA$24,1))</f>
        <v>森　大喜</v>
      </c>
      <c r="Y15" s="47" t="str" cm="1">
        <f t="array" ref="Y15">INDEX($R$13:$R$34,_xlfn.RANK.EQ(Y21,$V$19:$AA$24,1))</f>
        <v>小竹　莞太郎</v>
      </c>
      <c r="Z15" s="47" t="str" cm="1">
        <f t="array" ref="Z15">INDEX($R$13:$R$34,_xlfn.RANK.EQ(Z21,$V$19:$AA$24,1))</f>
        <v>中村颯斗</v>
      </c>
      <c r="AA15" s="47" t="str" cm="1">
        <f t="array" ref="AA15">INDEX($R$13:$R$34,_xlfn.RANK.EQ(AA21,$V$19:$AA$24,1))</f>
        <v>村瀬　光琉</v>
      </c>
    </row>
    <row r="16" spans="1:27" ht="21" customHeight="1">
      <c r="A16" s="127">
        <v>4</v>
      </c>
      <c r="B16" s="181" t="s">
        <v>234</v>
      </c>
      <c r="C16" s="155">
        <f>IF(テーブル3[[#This Row],[氏　　名]]="","",INDEX($Q$13:$Q$34,MATCH(テーブル3[[#This Row],[氏　　名]],$R$13:$R$34,0)))</f>
        <v>46032664</v>
      </c>
      <c r="D16" s="81" t="s">
        <v>244</v>
      </c>
      <c r="E16" s="81" t="str">
        <f>IF(テーブル3[[#This Row],[氏　　名]]="","",INDEX($P$13:$P$34,MATCH(D16,$R$13:$R$34,0)))</f>
        <v>郡上北A</v>
      </c>
      <c r="F16" s="94">
        <f>IF(テーブル3[[#This Row],[氏　　名]]="","",INDEX($S$13:$S$34,MATCH(D16,$R$13:$R$34,0)))</f>
        <v>2</v>
      </c>
      <c r="G16" s="311"/>
      <c r="H16" s="205"/>
      <c r="I16" s="205"/>
      <c r="J16" s="205"/>
      <c r="K16" s="205"/>
      <c r="L16" s="206"/>
      <c r="M16" s="241" t="str">
        <f t="shared" si="1"/>
        <v/>
      </c>
      <c r="N16" s="183" t="str">
        <f t="shared" si="0"/>
        <v/>
      </c>
      <c r="P16" s="47" t="s">
        <v>242</v>
      </c>
      <c r="Q16" s="47">
        <v>46032881</v>
      </c>
      <c r="R16" s="47" t="s">
        <v>149</v>
      </c>
      <c r="S16" s="47">
        <v>2</v>
      </c>
      <c r="T16" s="29" t="str">
        <f>P16&amp;1</f>
        <v>済美Ｂ1</v>
      </c>
      <c r="U16" s="47">
        <v>4</v>
      </c>
      <c r="Z16" s="47" t="str" cm="1">
        <f t="array" ref="Z16">INDEX($R$13:$R$34,_xlfn.RANK.EQ(Z22,$V$19:$AA$24,1))</f>
        <v>澤村　魁里</v>
      </c>
      <c r="AA16" s="47" t="str" cm="1">
        <f t="array" ref="AA16">INDEX($R$13:$R$34,_xlfn.RANK.EQ(AA22,$V$19:$AA$24,1))</f>
        <v>後藤　慎吾</v>
      </c>
    </row>
    <row r="17" spans="1:27" ht="21" customHeight="1">
      <c r="A17" s="127">
        <v>5</v>
      </c>
      <c r="B17" s="181" t="s">
        <v>177</v>
      </c>
      <c r="C17" s="155">
        <f>IF(テーブル3[[#This Row],[氏　　名]]="","",INDEX($Q$13:$Q$34,MATCH(テーブル3[[#This Row],[氏　　名]],$R$13:$R$34,0)))</f>
        <v>44030238</v>
      </c>
      <c r="D17" s="81" t="s">
        <v>249</v>
      </c>
      <c r="E17" s="81" t="str">
        <f>IF(テーブル3[[#This Row],[氏　　名]]="","",INDEX($P$13:$P$34,MATCH(D17,$R$13:$R$34,0)))</f>
        <v>鶯谷</v>
      </c>
      <c r="F17" s="94">
        <f>IF(テーブル3[[#This Row],[氏　　名]]="","",INDEX($S$13:$S$34,MATCH(D17,$R$13:$R$34,0)))</f>
        <v>2</v>
      </c>
      <c r="G17" s="311"/>
      <c r="H17" s="205"/>
      <c r="I17" s="205"/>
      <c r="J17" s="205"/>
      <c r="K17" s="205"/>
      <c r="L17" s="206"/>
      <c r="M17" s="241" t="str">
        <f t="shared" si="1"/>
        <v/>
      </c>
      <c r="N17" s="183" t="str">
        <f t="shared" si="0"/>
        <v/>
      </c>
      <c r="P17" s="47" t="s">
        <v>242</v>
      </c>
      <c r="Q17" s="47">
        <v>47034387</v>
      </c>
      <c r="R17" s="47" t="s">
        <v>239</v>
      </c>
      <c r="S17" s="47">
        <v>1</v>
      </c>
      <c r="T17" s="29" t="str">
        <f>P17&amp;2</f>
        <v>済美Ｂ2</v>
      </c>
      <c r="U17" s="47">
        <v>5</v>
      </c>
      <c r="AA17" s="47" t="str" cm="1">
        <f t="array" ref="AA17">INDEX($R$13:$R$34,_xlfn.RANK.EQ(AA23,$V$19:$AA$24,1))</f>
        <v>加藤凜</v>
      </c>
    </row>
    <row r="18" spans="1:27" ht="21" customHeight="1">
      <c r="A18" s="127">
        <v>6</v>
      </c>
      <c r="B18" s="181" t="s">
        <v>183</v>
      </c>
      <c r="C18" s="155">
        <f>IF(テーブル3[[#This Row],[氏　　名]]="","",INDEX($Q$13:$Q$34,MATCH(テーブル3[[#This Row],[氏　　名]],$R$13:$R$34,0)))</f>
        <v>46032881</v>
      </c>
      <c r="D18" s="81" t="s">
        <v>149</v>
      </c>
      <c r="E18" s="81" t="str">
        <f>IF(テーブル3[[#This Row],[氏　　名]]="","",INDEX($P$13:$P$34,MATCH(D18,$R$13:$R$34,0)))</f>
        <v>済美Ｂ</v>
      </c>
      <c r="F18" s="94">
        <f>IF(テーブル3[[#This Row],[氏　　名]]="","",INDEX($S$13:$S$34,MATCH(D18,$R$13:$R$34,0)))</f>
        <v>2</v>
      </c>
      <c r="G18" s="311"/>
      <c r="H18" s="205"/>
      <c r="I18" s="205"/>
      <c r="J18" s="205"/>
      <c r="K18" s="205"/>
      <c r="L18" s="206"/>
      <c r="M18" s="241" t="str">
        <f t="shared" si="1"/>
        <v/>
      </c>
      <c r="N18" s="183" t="str">
        <f t="shared" si="0"/>
        <v/>
      </c>
      <c r="P18" s="47" t="s">
        <v>242</v>
      </c>
      <c r="Q18" s="47">
        <v>46032670</v>
      </c>
      <c r="R18" s="47" t="s">
        <v>150</v>
      </c>
      <c r="S18" s="47">
        <v>2</v>
      </c>
      <c r="T18" s="29" t="str">
        <f>P18&amp;3</f>
        <v>済美Ｂ3</v>
      </c>
      <c r="U18" s="47">
        <v>6</v>
      </c>
      <c r="AA18" s="47" t="str" cm="1">
        <f t="array" ref="AA18">INDEX($R$13:$R$34,_xlfn.RANK.EQ(AA24,$V$19:$AA$24,1))</f>
        <v>狩野　佑斗</v>
      </c>
    </row>
    <row r="19" spans="1:27" ht="21" customHeight="1">
      <c r="A19" s="127">
        <v>7</v>
      </c>
      <c r="B19" s="181" t="s">
        <v>287</v>
      </c>
      <c r="C19" s="155">
        <f>IF(テーブル3[[#This Row],[氏　　名]]="","",INDEX($Q$13:$Q$34,MATCH(テーブル3[[#This Row],[氏　　名]],$R$13:$R$34,0)))</f>
        <v>47034387</v>
      </c>
      <c r="D19" s="81" t="s">
        <v>239</v>
      </c>
      <c r="E19" s="81" t="str">
        <f>IF(テーブル3[[#This Row],[氏　　名]]="","",INDEX($P$13:$P$34,MATCH(D19,$R$13:$R$34,0)))</f>
        <v>済美Ｂ</v>
      </c>
      <c r="F19" s="94">
        <f>IF(テーブル3[[#This Row],[氏　　名]]="","",INDEX($S$13:$S$34,MATCH(D19,$R$13:$R$34,0)))</f>
        <v>1</v>
      </c>
      <c r="G19" s="311"/>
      <c r="H19" s="205"/>
      <c r="I19" s="205"/>
      <c r="J19" s="205"/>
      <c r="K19" s="205"/>
      <c r="L19" s="206"/>
      <c r="M19" s="241" t="str">
        <f t="shared" si="1"/>
        <v/>
      </c>
      <c r="N19" s="183" t="str">
        <f t="shared" si="0"/>
        <v/>
      </c>
      <c r="P19" s="47" t="s">
        <v>147</v>
      </c>
      <c r="Q19" s="47">
        <v>47034308</v>
      </c>
      <c r="R19" s="47" t="s">
        <v>240</v>
      </c>
      <c r="S19" s="47">
        <v>1</v>
      </c>
      <c r="V19" s="29">
        <v>0.81351992095538095</v>
      </c>
      <c r="W19" s="29">
        <v>0.48416934001747858</v>
      </c>
      <c r="X19" s="29">
        <v>0.17601383019080152</v>
      </c>
      <c r="Y19" s="29">
        <v>0.95250906156494908</v>
      </c>
      <c r="Z19" s="29">
        <v>0.392487629890378</v>
      </c>
      <c r="AA19" s="29">
        <v>0.82114392759991961</v>
      </c>
    </row>
    <row r="20" spans="1:27" ht="21" customHeight="1">
      <c r="A20" s="127">
        <v>8</v>
      </c>
      <c r="B20" s="181" t="s">
        <v>179</v>
      </c>
      <c r="C20" s="155">
        <f>IF(テーブル3[[#This Row],[氏　　名]]="","",INDEX($Q$13:$Q$34,MATCH(テーブル3[[#This Row],[氏　　名]],$R$13:$R$34,0)))</f>
        <v>45030629</v>
      </c>
      <c r="D20" s="81" t="s">
        <v>224</v>
      </c>
      <c r="E20" s="81" t="str">
        <f>IF(テーブル3[[#This Row],[氏　　名]]="","",INDEX($P$13:$P$34,MATCH(D20,$R$13:$R$34,0)))</f>
        <v>済美Ａ</v>
      </c>
      <c r="F20" s="94">
        <f>IF(テーブル3[[#This Row],[氏　　名]]="","",INDEX($S$13:$S$34,MATCH(D20,$R$13:$R$34,0)))</f>
        <v>1</v>
      </c>
      <c r="G20" s="311"/>
      <c r="H20" s="205"/>
      <c r="I20" s="205"/>
      <c r="J20" s="205"/>
      <c r="K20" s="205"/>
      <c r="L20" s="206"/>
      <c r="M20" s="241" t="str">
        <f t="shared" si="1"/>
        <v/>
      </c>
      <c r="N20" s="183" t="str">
        <f t="shared" si="0"/>
        <v/>
      </c>
      <c r="P20" s="47" t="s">
        <v>147</v>
      </c>
      <c r="Q20" s="47">
        <v>47034309</v>
      </c>
      <c r="R20" s="47" t="s">
        <v>241</v>
      </c>
      <c r="S20" s="47">
        <v>1</v>
      </c>
      <c r="V20" s="29">
        <v>0.97496756271627982</v>
      </c>
      <c r="W20" s="29">
        <v>0.62105158383980286</v>
      </c>
      <c r="X20" s="29">
        <v>0.10343839044151582</v>
      </c>
      <c r="Y20" s="29">
        <v>0.14676771473340844</v>
      </c>
      <c r="Z20" s="29">
        <v>0.69002961444254529</v>
      </c>
      <c r="AA20" s="29">
        <v>0.22634020831360468</v>
      </c>
    </row>
    <row r="21" spans="1:27" ht="21" customHeight="1">
      <c r="A21" s="127">
        <v>9</v>
      </c>
      <c r="B21" s="181" t="s">
        <v>184</v>
      </c>
      <c r="C21" s="155" t="str">
        <f>IF(テーブル3[[#This Row],[氏　　名]]="","",INDEX($Q$13:$Q$34,MATCH(テーブル3[[#This Row],[氏　　名]],$R$13:$R$34,0)))</f>
        <v>申請中</v>
      </c>
      <c r="D21" s="81" t="s">
        <v>245</v>
      </c>
      <c r="E21" s="81" t="str">
        <f>IF(テーブル3[[#This Row],[氏　　名]]="","",INDEX($P$13:$P$34,MATCH(D21,$R$13:$R$34,0)))</f>
        <v>郡上北A</v>
      </c>
      <c r="F21" s="94">
        <f>IF(テーブル3[[#This Row],[氏　　名]]="","",INDEX($S$13:$S$34,MATCH(D21,$R$13:$R$34,0)))</f>
        <v>1</v>
      </c>
      <c r="G21" s="311"/>
      <c r="H21" s="205"/>
      <c r="I21" s="205"/>
      <c r="J21" s="205"/>
      <c r="K21" s="205"/>
      <c r="L21" s="206"/>
      <c r="M21" s="241" t="str">
        <f t="shared" si="1"/>
        <v/>
      </c>
      <c r="N21" s="183" t="str">
        <f t="shared" si="0"/>
        <v/>
      </c>
      <c r="P21" s="47" t="s">
        <v>247</v>
      </c>
      <c r="Q21" s="47">
        <v>46032664</v>
      </c>
      <c r="R21" s="47" t="s">
        <v>244</v>
      </c>
      <c r="S21" s="47">
        <v>2</v>
      </c>
      <c r="T21" s="29" t="str">
        <f>P21&amp;1</f>
        <v>郡上北A1</v>
      </c>
      <c r="V21" s="29">
        <v>0.65932019873822068</v>
      </c>
      <c r="W21" s="29">
        <v>0.16909010237521038</v>
      </c>
      <c r="X21" s="29">
        <v>0.57071367856974875</v>
      </c>
      <c r="Y21" s="29">
        <v>0.65292230096490311</v>
      </c>
      <c r="Z21" s="29">
        <v>0.29761808901415132</v>
      </c>
      <c r="AA21" s="29">
        <v>0.98894212383433655</v>
      </c>
    </row>
    <row r="22" spans="1:27" ht="21" customHeight="1">
      <c r="A22" s="127">
        <v>10</v>
      </c>
      <c r="B22" s="181" t="s">
        <v>288</v>
      </c>
      <c r="C22" s="155">
        <f>IF(テーブル3[[#This Row],[氏　　名]]="","",INDEX($Q$13:$Q$34,MATCH(テーブル3[[#This Row],[氏　　名]],$R$13:$R$34,0)))</f>
        <v>47034300</v>
      </c>
      <c r="D22" s="81" t="s">
        <v>253</v>
      </c>
      <c r="E22" s="81" t="str">
        <f>IF(テーブル3[[#This Row],[氏　　名]]="","",INDEX($P$13:$P$34,MATCH(D22,$R$13:$R$34,0)))</f>
        <v>関有知B</v>
      </c>
      <c r="F22" s="94">
        <f>IF(テーブル3[[#This Row],[氏　　名]]="","",INDEX($S$13:$S$34,MATCH(D22,$R$13:$R$34,0)))</f>
        <v>1</v>
      </c>
      <c r="G22" s="311"/>
      <c r="H22" s="205"/>
      <c r="I22" s="205"/>
      <c r="J22" s="205"/>
      <c r="K22" s="205"/>
      <c r="L22" s="206"/>
      <c r="M22" s="241" t="str">
        <f t="shared" si="1"/>
        <v/>
      </c>
      <c r="N22" s="183" t="str">
        <f t="shared" si="0"/>
        <v/>
      </c>
      <c r="P22" s="47" t="s">
        <v>247</v>
      </c>
      <c r="Q22" s="47" t="s">
        <v>153</v>
      </c>
      <c r="R22" s="47" t="s">
        <v>245</v>
      </c>
      <c r="S22" s="47">
        <v>1</v>
      </c>
      <c r="T22" s="29" t="str">
        <f>P22&amp;2</f>
        <v>郡上北A2</v>
      </c>
      <c r="Z22" s="29">
        <v>0.68728824859114979</v>
      </c>
      <c r="AA22" s="29">
        <v>0.79810053067402009</v>
      </c>
    </row>
    <row r="23" spans="1:27" ht="21" customHeight="1">
      <c r="A23" s="127">
        <v>11</v>
      </c>
      <c r="B23" s="181" t="s">
        <v>180</v>
      </c>
      <c r="C23" s="155">
        <f>IF(テーブル3[[#This Row],[氏　　名]]="","",INDEX($Q$13:$Q$34,MATCH(テーブル3[[#This Row],[氏　　名]],$R$13:$R$34,0)))</f>
        <v>43028791</v>
      </c>
      <c r="D23" s="81" t="s">
        <v>225</v>
      </c>
      <c r="E23" s="81" t="str">
        <f>IF(テーブル3[[#This Row],[氏　　名]]="","",INDEX($P$13:$P$34,MATCH(D23,$R$13:$R$34,0)))</f>
        <v>済美Ａ</v>
      </c>
      <c r="F23" s="94">
        <f>IF(テーブル3[[#This Row],[氏　　名]]="","",INDEX($S$13:$S$34,MATCH(D23,$R$13:$R$34,0)))</f>
        <v>1</v>
      </c>
      <c r="G23" s="311"/>
      <c r="H23" s="205"/>
      <c r="I23" s="205"/>
      <c r="J23" s="205"/>
      <c r="K23" s="205"/>
      <c r="L23" s="206"/>
      <c r="M23" s="241" t="str">
        <f t="shared" si="1"/>
        <v/>
      </c>
      <c r="N23" s="183" t="str">
        <f t="shared" si="0"/>
        <v/>
      </c>
      <c r="P23" s="47" t="s">
        <v>247</v>
      </c>
      <c r="Q23" s="47">
        <v>47034313</v>
      </c>
      <c r="R23" s="47" t="s">
        <v>246</v>
      </c>
      <c r="S23" s="47">
        <v>1</v>
      </c>
      <c r="T23" s="29" t="str">
        <f>P23&amp;3</f>
        <v>郡上北A3</v>
      </c>
      <c r="AA23" s="29">
        <v>3.4149421869668961E-2</v>
      </c>
    </row>
    <row r="24" spans="1:27" ht="21" customHeight="1">
      <c r="A24" s="127">
        <v>12</v>
      </c>
      <c r="B24" s="181" t="s">
        <v>186</v>
      </c>
      <c r="C24" s="155">
        <f>IF(テーブル3[[#This Row],[氏　　名]]="","",INDEX($Q$13:$Q$34,MATCH(テーブル3[[#This Row],[氏　　名]],$R$13:$R$34,0)))</f>
        <v>47034317</v>
      </c>
      <c r="D24" s="85" t="s">
        <v>250</v>
      </c>
      <c r="E24" s="81" t="str">
        <f>IF(テーブル3[[#This Row],[氏　　名]]="","",INDEX($P$13:$P$34,MATCH(D24,$R$13:$R$34,0)))</f>
        <v>鶯谷</v>
      </c>
      <c r="F24" s="94">
        <f>IF(テーブル3[[#This Row],[氏　　名]]="","",INDEX($S$13:$S$34,MATCH(D24,$R$13:$R$34,0)))</f>
        <v>1</v>
      </c>
      <c r="G24" s="311"/>
      <c r="H24" s="205"/>
      <c r="I24" s="205"/>
      <c r="J24" s="205"/>
      <c r="K24" s="205"/>
      <c r="L24" s="206"/>
      <c r="M24" s="241" t="str">
        <f t="shared" si="1"/>
        <v/>
      </c>
      <c r="N24" s="183" t="str">
        <f t="shared" si="0"/>
        <v/>
      </c>
      <c r="P24" s="47" t="s">
        <v>166</v>
      </c>
      <c r="Q24" s="47">
        <v>44030238</v>
      </c>
      <c r="R24" s="47" t="s">
        <v>249</v>
      </c>
      <c r="S24" s="47">
        <v>2</v>
      </c>
      <c r="AA24" s="29">
        <v>0.57225109941775176</v>
      </c>
    </row>
    <row r="25" spans="1:27" ht="21" customHeight="1">
      <c r="A25" s="127">
        <v>13</v>
      </c>
      <c r="B25" s="181" t="s">
        <v>289</v>
      </c>
      <c r="C25" s="155">
        <f>IF(テーブル3[[#This Row],[氏　　名]]="","",INDEX($Q$13:$Q$34,MATCH(テーブル3[[#This Row],[氏　　名]],$R$13:$R$34,0)))</f>
        <v>47034309</v>
      </c>
      <c r="D25" s="81" t="s">
        <v>241</v>
      </c>
      <c r="E25" s="81" t="str">
        <f>IF(テーブル3[[#This Row],[氏　　名]]="","",INDEX($P$13:$P$34,MATCH(D25,$R$13:$R$34,0)))</f>
        <v>済美</v>
      </c>
      <c r="F25" s="94">
        <f>IF(テーブル3[[#This Row],[氏　　名]]="","",INDEX($S$13:$S$34,MATCH(D25,$R$13:$R$34,0)))</f>
        <v>1</v>
      </c>
      <c r="G25" s="311"/>
      <c r="H25" s="205"/>
      <c r="I25" s="205"/>
      <c r="J25" s="205"/>
      <c r="K25" s="205"/>
      <c r="L25" s="206"/>
      <c r="M25" s="241" t="str">
        <f t="shared" si="1"/>
        <v/>
      </c>
      <c r="N25" s="183" t="str">
        <f t="shared" si="0"/>
        <v/>
      </c>
      <c r="O25" s="80"/>
      <c r="P25" s="47" t="s">
        <v>166</v>
      </c>
      <c r="Q25" s="47">
        <v>47034317</v>
      </c>
      <c r="R25" s="47" t="s">
        <v>250</v>
      </c>
      <c r="S25" s="47">
        <v>1</v>
      </c>
    </row>
    <row r="26" spans="1:27" ht="21" customHeight="1">
      <c r="A26" s="127">
        <v>14</v>
      </c>
      <c r="B26" s="181" t="s">
        <v>290</v>
      </c>
      <c r="C26" s="155">
        <f>IF(テーブル3[[#This Row],[氏　　名]]="","",INDEX($Q$13:$Q$34,MATCH(テーブル3[[#This Row],[氏　　名]],$R$13:$R$34,0)))</f>
        <v>46032653</v>
      </c>
      <c r="D26" s="81" t="s">
        <v>156</v>
      </c>
      <c r="E26" s="81" t="str">
        <f>IF(テーブル3[[#This Row],[氏　　名]]="","",INDEX($P$13:$P$34,MATCH(D26,$R$13:$R$34,0)))</f>
        <v>関有知A</v>
      </c>
      <c r="F26" s="94">
        <f>IF(テーブル3[[#This Row],[氏　　名]]="","",INDEX($S$13:$S$34,MATCH(D26,$R$13:$R$34,0)))</f>
        <v>2</v>
      </c>
      <c r="G26" s="311"/>
      <c r="H26" s="205"/>
      <c r="I26" s="205"/>
      <c r="J26" s="205"/>
      <c r="K26" s="205"/>
      <c r="L26" s="206"/>
      <c r="M26" s="241" t="str">
        <f t="shared" si="1"/>
        <v/>
      </c>
      <c r="N26" s="183" t="str">
        <f t="shared" si="0"/>
        <v/>
      </c>
      <c r="P26" s="47" t="s">
        <v>248</v>
      </c>
      <c r="Q26" s="47">
        <v>46032673</v>
      </c>
      <c r="R26" s="47" t="s">
        <v>154</v>
      </c>
      <c r="S26" s="47">
        <v>2</v>
      </c>
    </row>
    <row r="27" spans="1:27" ht="21" customHeight="1">
      <c r="A27" s="127">
        <v>15</v>
      </c>
      <c r="B27" s="181" t="s">
        <v>291</v>
      </c>
      <c r="C27" s="155">
        <f>IF(テーブル3[[#This Row],[氏　　名]]="","",INDEX($Q$13:$Q$34,MATCH(テーブル3[[#This Row],[氏　　名]],$R$13:$R$34,0)))</f>
        <v>47034308</v>
      </c>
      <c r="D27" s="81" t="s">
        <v>240</v>
      </c>
      <c r="E27" s="81" t="str">
        <f>IF(テーブル3[[#This Row],[氏　　名]]="","",INDEX($P$13:$P$34,MATCH(D27,$R$13:$R$34,0)))</f>
        <v>済美</v>
      </c>
      <c r="F27" s="94">
        <f>IF(テーブル3[[#This Row],[氏　　名]]="","",INDEX($S$13:$S$34,MATCH(D27,$R$13:$R$34,0)))</f>
        <v>1</v>
      </c>
      <c r="G27" s="311"/>
      <c r="H27" s="205"/>
      <c r="I27" s="205"/>
      <c r="J27" s="205"/>
      <c r="K27" s="205"/>
      <c r="L27" s="206"/>
      <c r="M27" s="241" t="str">
        <f t="shared" si="1"/>
        <v/>
      </c>
      <c r="N27" s="183" t="str">
        <f t="shared" si="0"/>
        <v/>
      </c>
      <c r="O27" s="80"/>
      <c r="P27" s="47" t="s">
        <v>230</v>
      </c>
      <c r="Q27" s="47">
        <v>44029863</v>
      </c>
      <c r="R27" s="47" t="s">
        <v>251</v>
      </c>
      <c r="S27" s="47">
        <v>2</v>
      </c>
      <c r="T27" s="29" t="str">
        <f>P27&amp;1</f>
        <v>関有知A1</v>
      </c>
    </row>
    <row r="28" spans="1:27" ht="21" customHeight="1">
      <c r="A28" s="127">
        <v>16</v>
      </c>
      <c r="B28" s="181" t="s">
        <v>294</v>
      </c>
      <c r="C28" s="155">
        <f>IF(テーブル3[[#This Row],[氏　　名]]="","",INDEX($Q$13:$Q$34,MATCH(テーブル3[[#This Row],[氏　　名]],$R$13:$R$34,0)))</f>
        <v>44029863</v>
      </c>
      <c r="D28" s="81" t="s">
        <v>316</v>
      </c>
      <c r="E28" s="81" t="str">
        <f>IF(テーブル3[[#This Row],[氏　　名]]="","",INDEX($P$13:$P$34,MATCH(D28,$R$13:$R$34,0)))</f>
        <v>関有知A</v>
      </c>
      <c r="F28" s="94">
        <f>IF(テーブル3[[#This Row],[氏　　名]]="","",INDEX($S$13:$S$34,MATCH(D28,$R$13:$R$34,0)))</f>
        <v>2</v>
      </c>
      <c r="G28" s="311"/>
      <c r="H28" s="205"/>
      <c r="I28" s="205"/>
      <c r="J28" s="205"/>
      <c r="K28" s="205"/>
      <c r="L28" s="206"/>
      <c r="M28" s="241" t="str">
        <f t="shared" si="1"/>
        <v/>
      </c>
      <c r="N28" s="183" t="str">
        <f t="shared" si="0"/>
        <v/>
      </c>
      <c r="O28" s="80"/>
      <c r="P28" s="47" t="s">
        <v>230</v>
      </c>
      <c r="Q28" s="47">
        <v>46032653</v>
      </c>
      <c r="R28" s="47" t="s">
        <v>156</v>
      </c>
      <c r="S28" s="47">
        <v>2</v>
      </c>
      <c r="T28" s="29" t="str">
        <f>P28&amp;2</f>
        <v>関有知A2</v>
      </c>
    </row>
    <row r="29" spans="1:27" ht="21" customHeight="1">
      <c r="A29" s="127">
        <v>17</v>
      </c>
      <c r="B29" s="181" t="s">
        <v>302</v>
      </c>
      <c r="C29" s="155">
        <f>IF(テーブル3[[#This Row],[氏　　名]]="","",INDEX($Q$13:$Q$34,MATCH(テーブル3[[#This Row],[氏　　名]],$R$13:$R$34,0)))</f>
        <v>47034305</v>
      </c>
      <c r="D29" s="81" t="s">
        <v>252</v>
      </c>
      <c r="E29" s="81" t="str">
        <f>IF(テーブル3[[#This Row],[氏　　名]]="","",INDEX($P$13:$P$34,MATCH(D29,$R$13:$R$34,0)))</f>
        <v>関有知B</v>
      </c>
      <c r="F29" s="94">
        <f>IF(テーブル3[[#This Row],[氏　　名]]="","",INDEX($S$13:$S$34,MATCH(D29,$R$13:$R$34,0)))</f>
        <v>1</v>
      </c>
      <c r="G29" s="311"/>
      <c r="H29" s="205"/>
      <c r="I29" s="205"/>
      <c r="J29" s="205"/>
      <c r="K29" s="205"/>
      <c r="L29" s="206"/>
      <c r="M29" s="241" t="str">
        <f t="shared" si="1"/>
        <v/>
      </c>
      <c r="N29" s="183" t="str">
        <f t="shared" si="0"/>
        <v/>
      </c>
      <c r="O29" s="80"/>
      <c r="P29" s="47" t="s">
        <v>230</v>
      </c>
      <c r="Q29" s="47">
        <v>46032654</v>
      </c>
      <c r="R29" s="47" t="s">
        <v>157</v>
      </c>
      <c r="S29" s="47">
        <v>2</v>
      </c>
      <c r="T29" s="29" t="str">
        <f>P29&amp;3</f>
        <v>関有知A3</v>
      </c>
    </row>
    <row r="30" spans="1:27" ht="21" customHeight="1">
      <c r="A30" s="127">
        <v>18</v>
      </c>
      <c r="B30" s="181" t="s">
        <v>303</v>
      </c>
      <c r="C30" s="155">
        <f>IF(テーブル3[[#This Row],[氏　　名]]="","",INDEX($Q$13:$Q$34,MATCH(テーブル3[[#This Row],[氏　　名]],$R$13:$R$34,0)))</f>
        <v>46032670</v>
      </c>
      <c r="D30" s="157" t="s">
        <v>150</v>
      </c>
      <c r="E30" s="81" t="str">
        <f>IF(テーブル3[[#This Row],[氏　　名]]="","",INDEX($P$13:$P$34,MATCH(D30,$R$13:$R$34,0)))</f>
        <v>済美Ｂ</v>
      </c>
      <c r="F30" s="94">
        <f>IF(テーブル3[[#This Row],[氏　　名]]="","",INDEX($S$13:$S$34,MATCH(D30,$R$13:$R$34,0)))</f>
        <v>2</v>
      </c>
      <c r="G30" s="311"/>
      <c r="H30" s="205"/>
      <c r="I30" s="205"/>
      <c r="J30" s="205"/>
      <c r="K30" s="205"/>
      <c r="L30" s="206"/>
      <c r="M30" s="241" t="str">
        <f t="shared" si="1"/>
        <v/>
      </c>
      <c r="N30" s="183" t="str">
        <f t="shared" si="0"/>
        <v/>
      </c>
      <c r="O30" s="80"/>
      <c r="P30" s="47" t="s">
        <v>254</v>
      </c>
      <c r="Q30" s="47">
        <v>46032656</v>
      </c>
      <c r="R30" s="47" t="s">
        <v>159</v>
      </c>
      <c r="S30" s="47">
        <v>2</v>
      </c>
      <c r="T30" s="29" t="str">
        <f>P30&amp;1</f>
        <v>関有知B1</v>
      </c>
    </row>
    <row r="31" spans="1:27" ht="21" customHeight="1">
      <c r="A31" s="127">
        <v>19</v>
      </c>
      <c r="B31" s="181" t="s">
        <v>304</v>
      </c>
      <c r="C31" s="155">
        <f>IF(テーブル3[[#This Row],[氏　　名]]="","",INDEX($Q$13:$Q$34,MATCH(テーブル3[[#This Row],[氏　　名]],$R$13:$R$34,0)))</f>
        <v>47034306</v>
      </c>
      <c r="D31" s="95" t="s">
        <v>256</v>
      </c>
      <c r="E31" s="81" t="str">
        <f>IF(テーブル3[[#This Row],[氏　　名]]="","",INDEX($P$13:$P$34,MATCH(D31,$R$13:$R$34,0)))</f>
        <v>関有知</v>
      </c>
      <c r="F31" s="94">
        <f>IF(テーブル3[[#This Row],[氏　　名]]="","",INDEX($S$13:$S$34,MATCH(D31,$R$13:$R$34,0)))</f>
        <v>1</v>
      </c>
      <c r="G31" s="311"/>
      <c r="H31" s="205"/>
      <c r="I31" s="205"/>
      <c r="J31" s="205"/>
      <c r="K31" s="205"/>
      <c r="L31" s="206"/>
      <c r="M31" s="241" t="str">
        <f t="shared" si="1"/>
        <v/>
      </c>
      <c r="N31" s="183" t="str">
        <f t="shared" si="0"/>
        <v/>
      </c>
      <c r="P31" s="47" t="s">
        <v>254</v>
      </c>
      <c r="Q31" s="47">
        <v>47034305</v>
      </c>
      <c r="R31" s="47" t="s">
        <v>252</v>
      </c>
      <c r="S31" s="47">
        <v>1</v>
      </c>
      <c r="T31" s="29" t="str">
        <f>P31&amp;2</f>
        <v>関有知B2</v>
      </c>
    </row>
    <row r="32" spans="1:27" ht="21" customHeight="1">
      <c r="A32" s="127">
        <v>20</v>
      </c>
      <c r="B32" s="181" t="s">
        <v>308</v>
      </c>
      <c r="C32" s="155">
        <f>IF(テーブル3[[#This Row],[氏　　名]]="","",INDEX($Q$13:$Q$34,MATCH(テーブル3[[#This Row],[氏　　名]],$R$13:$R$34,0)))</f>
        <v>46032654</v>
      </c>
      <c r="D32" s="157" t="s">
        <v>157</v>
      </c>
      <c r="E32" s="81" t="str">
        <f>IF(テーブル3[[#This Row],[氏　　名]]="","",INDEX($P$13:$P$34,MATCH(D32,$R$13:$R$34,0)))</f>
        <v>関有知A</v>
      </c>
      <c r="F32" s="94">
        <f>IF(テーブル3[[#This Row],[氏　　名]]="","",INDEX($S$13:$S$34,MATCH(D32,$R$13:$R$34,0)))</f>
        <v>2</v>
      </c>
      <c r="G32" s="311"/>
      <c r="H32" s="205"/>
      <c r="I32" s="205"/>
      <c r="J32" s="205"/>
      <c r="K32" s="205"/>
      <c r="L32" s="206"/>
      <c r="M32" s="241" t="str">
        <f t="shared" si="1"/>
        <v/>
      </c>
      <c r="N32" s="183" t="str">
        <f t="shared" si="0"/>
        <v/>
      </c>
      <c r="O32" s="80"/>
      <c r="P32" s="47" t="s">
        <v>254</v>
      </c>
      <c r="Q32" s="47">
        <v>47034300</v>
      </c>
      <c r="R32" s="47" t="s">
        <v>253</v>
      </c>
      <c r="S32" s="47">
        <v>1</v>
      </c>
      <c r="T32" s="29" t="str">
        <f>P32&amp;3</f>
        <v>関有知B3</v>
      </c>
    </row>
    <row r="33" spans="1:26" ht="21" customHeight="1">
      <c r="A33" s="127">
        <v>21</v>
      </c>
      <c r="B33" s="244" t="s">
        <v>309</v>
      </c>
      <c r="C33" s="155">
        <f>IF(テーブル3[[#This Row],[氏　　名]]="","",INDEX($Q$13:$Q$34,MATCH(テーブル3[[#This Row],[氏　　名]],$R$13:$R$34,0)))</f>
        <v>44028964</v>
      </c>
      <c r="D33" s="157" t="s">
        <v>223</v>
      </c>
      <c r="E33" s="81" t="str">
        <f>IF(テーブル3[[#This Row],[氏　　名]]="","",INDEX($P$13:$P$34,MATCH(D33,$R$13:$R$34,0)))</f>
        <v>済美Ａ</v>
      </c>
      <c r="F33" s="94">
        <f>IF(テーブル3[[#This Row],[氏　　名]]="","",INDEX($S$13:$S$34,MATCH(D33,$R$13:$R$34,0)))</f>
        <v>1</v>
      </c>
      <c r="G33" s="311"/>
      <c r="H33" s="205"/>
      <c r="I33" s="205"/>
      <c r="J33" s="205"/>
      <c r="K33" s="205"/>
      <c r="L33" s="206"/>
      <c r="M33" s="241" t="str">
        <f t="shared" si="1"/>
        <v/>
      </c>
      <c r="N33" s="183" t="str">
        <f t="shared" si="0"/>
        <v/>
      </c>
      <c r="O33" s="80"/>
      <c r="P33" s="47" t="s">
        <v>164</v>
      </c>
      <c r="Q33" s="47">
        <v>47034299</v>
      </c>
      <c r="R33" s="47" t="s">
        <v>255</v>
      </c>
      <c r="S33" s="47">
        <v>1</v>
      </c>
    </row>
    <row r="34" spans="1:26" ht="21" customHeight="1" thickBot="1">
      <c r="A34" s="127">
        <v>22</v>
      </c>
      <c r="B34" s="182" t="s">
        <v>310</v>
      </c>
      <c r="C34" s="187">
        <f>IF(テーブル3[[#This Row],[氏　　名]]="","",INDEX($Q$13:$Q$34,MATCH(テーブル3[[#This Row],[氏　　名]],$R$13:$R$34,0)))</f>
        <v>47034313</v>
      </c>
      <c r="D34" s="313" t="s">
        <v>246</v>
      </c>
      <c r="E34" s="121" t="str">
        <f>IF(テーブル3[[#This Row],[氏　　名]]="","",INDEX($P$13:$P$34,MATCH(D34,$R$13:$R$34,0)))</f>
        <v>郡上北A</v>
      </c>
      <c r="F34" s="314">
        <f>IF(テーブル3[[#This Row],[氏　　名]]="","",INDEX($S$13:$S$34,MATCH(D34,$R$13:$R$34,0)))</f>
        <v>1</v>
      </c>
      <c r="G34" s="312"/>
      <c r="H34" s="205"/>
      <c r="I34" s="205"/>
      <c r="J34" s="205"/>
      <c r="K34" s="205"/>
      <c r="L34" s="206"/>
      <c r="M34" s="241" t="str">
        <f t="shared" si="1"/>
        <v/>
      </c>
      <c r="N34" s="183" t="str">
        <f t="shared" si="0"/>
        <v/>
      </c>
      <c r="O34" s="80"/>
      <c r="P34" s="47" t="s">
        <v>164</v>
      </c>
      <c r="Q34" s="47">
        <v>47034306</v>
      </c>
      <c r="R34" s="47" t="s">
        <v>256</v>
      </c>
      <c r="S34" s="47">
        <v>1</v>
      </c>
    </row>
    <row r="35" spans="1:26">
      <c r="B35" s="97"/>
      <c r="C35" s="98"/>
      <c r="D35" s="42"/>
      <c r="E35" s="42"/>
      <c r="F35" s="42"/>
      <c r="G35" s="99"/>
      <c r="H35" s="99"/>
      <c r="I35" s="99"/>
      <c r="J35" s="99"/>
      <c r="K35" s="99"/>
      <c r="L35" s="99"/>
      <c r="M35" s="99"/>
      <c r="P35" s="29"/>
    </row>
    <row r="36" spans="1:26" ht="18" thickBot="1">
      <c r="D36" s="29" t="s">
        <v>9</v>
      </c>
      <c r="P36" s="29" t="s">
        <v>144</v>
      </c>
    </row>
    <row r="37" spans="1:26" ht="21" customHeight="1" thickBot="1">
      <c r="A37" s="126" t="s">
        <v>141</v>
      </c>
      <c r="B37" s="105" t="s">
        <v>0</v>
      </c>
      <c r="C37" s="260" t="s">
        <v>135</v>
      </c>
      <c r="D37" s="70" t="s">
        <v>1</v>
      </c>
      <c r="E37" s="71" t="s">
        <v>2</v>
      </c>
      <c r="F37" s="75" t="s">
        <v>136</v>
      </c>
      <c r="G37" s="261" t="s">
        <v>125</v>
      </c>
      <c r="H37" s="262" t="s">
        <v>126</v>
      </c>
      <c r="I37" s="262" t="s">
        <v>127</v>
      </c>
      <c r="J37" s="262" t="s">
        <v>128</v>
      </c>
      <c r="K37" s="262" t="s">
        <v>129</v>
      </c>
      <c r="L37" s="263" t="s">
        <v>130</v>
      </c>
      <c r="M37" s="128" t="s">
        <v>3</v>
      </c>
      <c r="N37" s="75" t="s">
        <v>4</v>
      </c>
      <c r="P37" s="47" t="s">
        <v>146</v>
      </c>
      <c r="Q37" s="47" t="s">
        <v>135</v>
      </c>
      <c r="R37" s="47" t="s">
        <v>145</v>
      </c>
      <c r="S37" s="47" t="s">
        <v>136</v>
      </c>
      <c r="U37" s="47" t="s">
        <v>131</v>
      </c>
      <c r="V37" s="47" t="s">
        <v>165</v>
      </c>
      <c r="W37" s="47" t="s">
        <v>168</v>
      </c>
      <c r="X37" s="47" t="s">
        <v>169</v>
      </c>
      <c r="Y37" s="47" t="s">
        <v>170</v>
      </c>
      <c r="Z37" s="47" t="s">
        <v>296</v>
      </c>
    </row>
    <row r="38" spans="1:26" ht="21" customHeight="1">
      <c r="A38" s="127">
        <v>1</v>
      </c>
      <c r="B38" s="180" t="s">
        <v>176</v>
      </c>
      <c r="C38" s="158">
        <f>IF(テーブル5[[#This Row],[氏　　名]]="","",INDEX($Q$38:$Q$51,MATCH(D38,$R$38:$R$51,0)))</f>
        <v>47034312</v>
      </c>
      <c r="D38" s="76" t="s">
        <v>259</v>
      </c>
      <c r="E38" s="76" t="str">
        <f>IF(テーブル5[[#This Row],[氏　　名]]="","",INDEX($P$38:$P$51,MATCH(D38,$R$38:$R$51,0)))</f>
        <v>済美</v>
      </c>
      <c r="F38" s="185">
        <f>IF(テーブル5[[#This Row],[氏　　名]]="","",INDEX($S$38:$S$51,MATCH(D38,$R$38:$R$51,0)))</f>
        <v>1</v>
      </c>
      <c r="G38" s="203"/>
      <c r="H38" s="203"/>
      <c r="I38" s="203"/>
      <c r="J38" s="203"/>
      <c r="K38" s="203"/>
      <c r="L38" s="204"/>
      <c r="M38" s="242" t="str">
        <f t="shared" ref="M38:M51" si="2">IF(G38="","",SUM(G38:L38))</f>
        <v/>
      </c>
      <c r="N38" s="170" t="str">
        <f t="shared" ref="N38:N51" si="3">IF(M38="","",RANK(M38,$M$38:$M$51))</f>
        <v/>
      </c>
      <c r="P38" s="47" t="s">
        <v>230</v>
      </c>
      <c r="Q38" s="47">
        <v>43028641</v>
      </c>
      <c r="R38" s="47" t="s">
        <v>229</v>
      </c>
      <c r="S38" s="47">
        <v>1</v>
      </c>
      <c r="T38" s="29" t="str">
        <f>P38&amp;1</f>
        <v>関有知A1</v>
      </c>
      <c r="U38" s="47">
        <v>4</v>
      </c>
      <c r="V38" s="47" t="str" cm="1">
        <f t="array" ref="V38">INDEX($R$38:$R$51,_xlfn.RANK.EQ(V42,$V$42:$Z$44,0))</f>
        <v>大野愛季</v>
      </c>
      <c r="W38" s="47" t="str" cm="1">
        <f t="array" ref="W38">INDEX($R$38:$R$51,_xlfn.RANK.EQ(W42,$V$42:$Z$44,0))</f>
        <v>三浦　柚希</v>
      </c>
      <c r="X38" s="47" t="str" cm="1">
        <f t="array" ref="X38">INDEX($R$38:$R$51,_xlfn.RANK.EQ(X42,$V$42:$Z$44,0))</f>
        <v>中村　由弥</v>
      </c>
      <c r="Y38" s="47" t="str" cm="1">
        <f t="array" ref="Y38">INDEX($R$38:$R$51,_xlfn.RANK.EQ(Y42,$V$42:$Z$44,0))</f>
        <v>見谷　遥日</v>
      </c>
      <c r="Z38" s="47"/>
    </row>
    <row r="39" spans="1:26" ht="21" customHeight="1">
      <c r="A39" s="127">
        <v>2</v>
      </c>
      <c r="B39" s="181" t="s">
        <v>311</v>
      </c>
      <c r="C39" s="155">
        <f>IF(テーブル5[[#This Row],[氏　　名]]="","",INDEX($Q$38:$Q$51,MATCH(D39,$R$38:$R$51,0)))</f>
        <v>46032649</v>
      </c>
      <c r="D39" s="81" t="s">
        <v>161</v>
      </c>
      <c r="E39" s="81" t="str">
        <f>IF(テーブル5[[#This Row],[氏　　名]]="","",INDEX($P$38:$P$51,MATCH(D39,$R$38:$R$51,0)))</f>
        <v>関有知A</v>
      </c>
      <c r="F39" s="186">
        <f>IF(テーブル5[[#This Row],[氏　　名]]="","",INDEX($S$38:$S$51,MATCH(D39,$R$38:$R$51,0)))</f>
        <v>2</v>
      </c>
      <c r="G39" s="205"/>
      <c r="H39" s="205"/>
      <c r="I39" s="205"/>
      <c r="J39" s="205"/>
      <c r="K39" s="205"/>
      <c r="L39" s="206"/>
      <c r="M39" s="243" t="str">
        <f t="shared" si="2"/>
        <v/>
      </c>
      <c r="N39" s="183" t="str">
        <f t="shared" si="3"/>
        <v/>
      </c>
      <c r="P39" s="47" t="s">
        <v>230</v>
      </c>
      <c r="Q39" s="47">
        <v>46032650</v>
      </c>
      <c r="R39" s="47" t="s">
        <v>162</v>
      </c>
      <c r="S39" s="47">
        <v>2</v>
      </c>
      <c r="T39" s="29" t="str">
        <f>P39&amp;2</f>
        <v>関有知A2</v>
      </c>
      <c r="U39" s="47">
        <v>5</v>
      </c>
      <c r="V39" s="47" t="str" cm="1">
        <f t="array" ref="V39">INDEX($R$38:$R$51,_xlfn.RANK.EQ(V43,$V$42:$Z$44,0))</f>
        <v>水野　音流</v>
      </c>
      <c r="W39" s="47" t="str" cm="1">
        <f t="array" ref="W39">INDEX($R$38:$R$51,_xlfn.RANK.EQ(W43,$V$42:$Z$44,0))</f>
        <v>三宅　鈴音</v>
      </c>
      <c r="X39" s="47" t="str" cm="1">
        <f t="array" ref="X39">INDEX($R$38:$R$51,_xlfn.RANK.EQ(X43,$V$42:$Z$44,0))</f>
        <v>角　　律希</v>
      </c>
      <c r="Y39" s="47" t="str" cm="1">
        <f t="array" ref="Y39">INDEX($R$38:$R$51,_xlfn.RANK.EQ(Y43,$V$42:$Z$44,0))</f>
        <v>河出菜欧美</v>
      </c>
      <c r="Z39" s="47" t="str" cm="1">
        <f t="array" ref="Z39">INDEX($R$38:$R$51,_xlfn.RANK.EQ(Z43,$V$42:$Z$44,0))</f>
        <v>藤田　千愛</v>
      </c>
    </row>
    <row r="40" spans="1:26" ht="21" customHeight="1">
      <c r="A40" s="127">
        <v>3</v>
      </c>
      <c r="B40" s="181" t="s">
        <v>172</v>
      </c>
      <c r="C40" s="155">
        <f>IF(テーブル5[[#This Row],[氏　　名]]="","",INDEX($Q$38:$Q$51,MATCH(D40,$R$38:$R$51,0)))</f>
        <v>47034333</v>
      </c>
      <c r="D40" s="81" t="s">
        <v>262</v>
      </c>
      <c r="E40" s="81" t="str">
        <f>IF(テーブル5[[#This Row],[氏　　名]]="","",INDEX($P$38:$P$51,MATCH(D40,$R$38:$R$51,0)))</f>
        <v>大垣日大A</v>
      </c>
      <c r="F40" s="186">
        <f>IF(テーブル5[[#This Row],[氏　　名]]="","",INDEX($S$38:$S$51,MATCH(D40,$R$38:$R$51,0)))</f>
        <v>1</v>
      </c>
      <c r="G40" s="205"/>
      <c r="H40" s="205"/>
      <c r="I40" s="205"/>
      <c r="J40" s="205"/>
      <c r="K40" s="205"/>
      <c r="L40" s="206"/>
      <c r="M40" s="243" t="str">
        <f t="shared" si="2"/>
        <v/>
      </c>
      <c r="N40" s="183" t="str">
        <f t="shared" si="3"/>
        <v/>
      </c>
      <c r="P40" s="47" t="s">
        <v>230</v>
      </c>
      <c r="Q40" s="47">
        <v>46032651</v>
      </c>
      <c r="R40" s="47" t="s">
        <v>163</v>
      </c>
      <c r="S40" s="47">
        <v>2</v>
      </c>
      <c r="T40" s="29" t="str">
        <f>P40&amp;3</f>
        <v>関有知A3</v>
      </c>
      <c r="U40" s="47">
        <v>6</v>
      </c>
      <c r="V40" s="47" t="str" cm="1">
        <f t="array" ref="V40">INDEX($R$38:$R$51,_xlfn.RANK.EQ(V44,$V$42:$Z$44,0))</f>
        <v>関　　希</v>
      </c>
      <c r="W40" s="47" t="str" cm="1">
        <f t="array" ref="W40">INDEX($R$38:$R$51,_xlfn.RANK.EQ(W44,$V$42:$Z$44,0))</f>
        <v>山田　千結</v>
      </c>
      <c r="X40" s="47" t="str" cm="1">
        <f t="array" ref="X40">INDEX($R$38:$R$51,_xlfn.RANK.EQ(X44,$V$42:$Z$44,0))</f>
        <v>浅野　海空</v>
      </c>
      <c r="Y40" s="47" t="str" cm="1">
        <f t="array" ref="Y40">INDEX($R$38:$R$51,_xlfn.RANK.EQ(Y44,$V$42:$Z$44,0))</f>
        <v>木戸脇　亜依</v>
      </c>
      <c r="Z40" s="47" t="str" cm="1">
        <f t="array" ref="Z40">INDEX($R$38:$R$51,_xlfn.RANK.EQ(Z44,$V$42:$Z$44,0))</f>
        <v>狩野　由依奈</v>
      </c>
    </row>
    <row r="41" spans="1:26" ht="21" customHeight="1">
      <c r="A41" s="127">
        <v>4</v>
      </c>
      <c r="B41" s="181" t="s">
        <v>188</v>
      </c>
      <c r="C41" s="155">
        <f>IF(テーブル5[[#This Row],[氏　　名]]="","",INDEX($Q$38:$Q$51,MATCH(D41,$R$38:$R$51,0)))</f>
        <v>46032650</v>
      </c>
      <c r="D41" s="81" t="s">
        <v>162</v>
      </c>
      <c r="E41" s="81" t="str">
        <f>IF(テーブル5[[#This Row],[氏　　名]]="","",INDEX($P$38:$P$51,MATCH(D41,$R$38:$R$51,0)))</f>
        <v>関有知A</v>
      </c>
      <c r="F41" s="186">
        <f>IF(テーブル5[[#This Row],[氏　　名]]="","",INDEX($S$38:$S$51,MATCH(D41,$R$38:$R$51,0)))</f>
        <v>2</v>
      </c>
      <c r="G41" s="205"/>
      <c r="H41" s="205"/>
      <c r="I41" s="205"/>
      <c r="J41" s="205"/>
      <c r="K41" s="205"/>
      <c r="L41" s="206"/>
      <c r="M41" s="243" t="str">
        <f t="shared" si="2"/>
        <v/>
      </c>
      <c r="N41" s="183" t="str">
        <f t="shared" si="3"/>
        <v/>
      </c>
      <c r="P41" s="47" t="s">
        <v>231</v>
      </c>
      <c r="Q41" s="47">
        <v>46032649</v>
      </c>
      <c r="R41" s="47" t="s">
        <v>161</v>
      </c>
      <c r="S41" s="47">
        <v>2</v>
      </c>
    </row>
    <row r="42" spans="1:26" ht="21" customHeight="1">
      <c r="A42" s="127">
        <v>5</v>
      </c>
      <c r="B42" s="181" t="s">
        <v>243</v>
      </c>
      <c r="C42" s="155">
        <f>IF(テーブル5[[#This Row],[氏　　名]]="","",INDEX($Q$38:$Q$51,MATCH(D42,$R$38:$R$51,0)))</f>
        <v>46032681</v>
      </c>
      <c r="D42" s="81" t="s">
        <v>267</v>
      </c>
      <c r="E42" s="81" t="str">
        <f>IF(テーブル5[[#This Row],[氏　　名]]="","",INDEX($P$38:$P$51,MATCH(D42,$R$38:$R$51,0)))</f>
        <v>鶯谷A</v>
      </c>
      <c r="F42" s="186">
        <f>IF(テーブル5[[#This Row],[氏　　名]]="","",INDEX($S$38:$S$51,MATCH(D42,$R$38:$R$51,0)))</f>
        <v>2</v>
      </c>
      <c r="G42" s="205"/>
      <c r="H42" s="205"/>
      <c r="I42" s="207"/>
      <c r="J42" s="205"/>
      <c r="K42" s="205"/>
      <c r="L42" s="206"/>
      <c r="M42" s="243" t="str">
        <f t="shared" si="2"/>
        <v/>
      </c>
      <c r="N42" s="183" t="str">
        <f t="shared" si="3"/>
        <v/>
      </c>
      <c r="P42" s="47" t="s">
        <v>147</v>
      </c>
      <c r="Q42" s="47">
        <v>47034310</v>
      </c>
      <c r="R42" s="47" t="s">
        <v>258</v>
      </c>
      <c r="S42" s="47">
        <v>1</v>
      </c>
      <c r="V42" s="29">
        <v>0.74265199974707508</v>
      </c>
      <c r="W42" s="29">
        <v>0.87459623769191475</v>
      </c>
      <c r="X42" s="29">
        <v>0.10410365637572616</v>
      </c>
      <c r="Y42" s="29">
        <v>7.0447911502226179E-2</v>
      </c>
    </row>
    <row r="43" spans="1:26" ht="21" customHeight="1">
      <c r="A43" s="127">
        <v>6</v>
      </c>
      <c r="B43" s="181" t="s">
        <v>178</v>
      </c>
      <c r="C43" s="155">
        <f>IF(テーブル5[[#This Row],[氏　　名]]="","",INDEX($Q$38:$Q$51,MATCH(D43,$R$38:$R$51,0)))</f>
        <v>47034332</v>
      </c>
      <c r="D43" s="81" t="s">
        <v>261</v>
      </c>
      <c r="E43" s="81" t="str">
        <f>IF(テーブル5[[#This Row],[氏　　名]]="","",INDEX($P$38:$P$51,MATCH(D43,$R$38:$R$51,0)))</f>
        <v>大垣日大A</v>
      </c>
      <c r="F43" s="186">
        <f>IF(テーブル5[[#This Row],[氏　　名]]="","",INDEX($S$38:$S$51,MATCH(D43,$R$38:$R$51,0)))</f>
        <v>1</v>
      </c>
      <c r="G43" s="205"/>
      <c r="H43" s="205"/>
      <c r="I43" s="205"/>
      <c r="J43" s="205"/>
      <c r="K43" s="205"/>
      <c r="L43" s="206"/>
      <c r="M43" s="243" t="str">
        <f t="shared" si="2"/>
        <v/>
      </c>
      <c r="N43" s="183" t="str">
        <f t="shared" si="3"/>
        <v/>
      </c>
      <c r="P43" s="47" t="s">
        <v>147</v>
      </c>
      <c r="Q43" s="47">
        <v>47034312</v>
      </c>
      <c r="R43" s="47" t="s">
        <v>259</v>
      </c>
      <c r="S43" s="47">
        <v>1</v>
      </c>
      <c r="V43" s="29">
        <v>0.76902200797308551</v>
      </c>
      <c r="W43" s="29">
        <v>0.27606101072660216</v>
      </c>
      <c r="X43" s="29">
        <v>0.62874050504487666</v>
      </c>
      <c r="Y43" s="29">
        <v>0.74896944476845895</v>
      </c>
      <c r="Z43" s="29">
        <v>0.80542068827012392</v>
      </c>
    </row>
    <row r="44" spans="1:26" ht="21" customHeight="1">
      <c r="A44" s="127">
        <v>7</v>
      </c>
      <c r="B44" s="181" t="s">
        <v>185</v>
      </c>
      <c r="C44" s="155">
        <f>IF(テーブル5[[#This Row],[氏　　名]]="","",INDEX($Q$38:$Q$51,MATCH(D44,$R$38:$R$51,0)))</f>
        <v>46033594</v>
      </c>
      <c r="D44" s="81" t="s">
        <v>268</v>
      </c>
      <c r="E44" s="81" t="str">
        <f>IF(テーブル5[[#This Row],[氏　　名]]="","",INDEX($P$38:$P$51,MATCH(D44,$R$38:$R$51,0)))</f>
        <v>鶯谷A</v>
      </c>
      <c r="F44" s="186">
        <f>IF(テーブル5[[#This Row],[氏　　名]]="","",INDEX($S$38:$S$51,MATCH(D44,$R$38:$R$51,0)))</f>
        <v>2</v>
      </c>
      <c r="G44" s="205"/>
      <c r="H44" s="205"/>
      <c r="I44" s="205"/>
      <c r="J44" s="205"/>
      <c r="K44" s="205"/>
      <c r="L44" s="206"/>
      <c r="M44" s="243" t="str">
        <f t="shared" si="2"/>
        <v/>
      </c>
      <c r="N44" s="183" t="str">
        <f t="shared" si="3"/>
        <v/>
      </c>
      <c r="P44" s="47" t="s">
        <v>171</v>
      </c>
      <c r="Q44" s="47">
        <v>46032690</v>
      </c>
      <c r="R44" s="47" t="s">
        <v>201</v>
      </c>
      <c r="S44" s="47">
        <v>2</v>
      </c>
      <c r="V44" s="29">
        <v>0.36032876983470863</v>
      </c>
      <c r="W44" s="29">
        <v>0.39973162650447525</v>
      </c>
      <c r="X44" s="29">
        <v>0.87982316762282331</v>
      </c>
      <c r="Y44" s="29">
        <v>0.33748499707971436</v>
      </c>
      <c r="Z44" s="29">
        <v>0.65839593359818271</v>
      </c>
    </row>
    <row r="45" spans="1:26" ht="21" customHeight="1">
      <c r="A45" s="127">
        <v>8</v>
      </c>
      <c r="B45" s="181" t="s">
        <v>292</v>
      </c>
      <c r="C45" s="155">
        <f>IF(テーブル5[[#This Row],[氏　　名]]="","",INDEX($Q$38:$Q$51,MATCH(D45,$R$38:$R$51,0)))</f>
        <v>47034331</v>
      </c>
      <c r="D45" s="81" t="s">
        <v>260</v>
      </c>
      <c r="E45" s="81" t="str">
        <f>IF(テーブル5[[#This Row],[氏　　名]]="","",INDEX($P$38:$P$51,MATCH(D45,$R$38:$R$51,0)))</f>
        <v>大垣日大A</v>
      </c>
      <c r="F45" s="186">
        <f>IF(テーブル5[[#This Row],[氏　　名]]="","",INDEX($S$38:$S$51,MATCH(D45,$R$38:$R$51,0)))</f>
        <v>1</v>
      </c>
      <c r="G45" s="205"/>
      <c r="H45" s="205"/>
      <c r="I45" s="205"/>
      <c r="J45" s="205"/>
      <c r="K45" s="205"/>
      <c r="L45" s="206"/>
      <c r="M45" s="243" t="str">
        <f t="shared" si="2"/>
        <v/>
      </c>
      <c r="N45" s="183" t="str">
        <f t="shared" si="3"/>
        <v/>
      </c>
      <c r="P45" s="47" t="s">
        <v>264</v>
      </c>
      <c r="Q45" s="47">
        <v>47034331</v>
      </c>
      <c r="R45" s="47" t="s">
        <v>260</v>
      </c>
      <c r="S45" s="47">
        <v>1</v>
      </c>
      <c r="T45" s="29" t="str">
        <f>P46&amp;1</f>
        <v>大垣日大A1</v>
      </c>
    </row>
    <row r="46" spans="1:26" ht="21" customHeight="1">
      <c r="A46" s="127">
        <v>9</v>
      </c>
      <c r="B46" s="181" t="s">
        <v>312</v>
      </c>
      <c r="C46" s="155">
        <f>IF(テーブル5[[#This Row],[氏　　名]]="","",INDEX($Q$38:$Q$51,MATCH(D46,$R$38:$R$51,0)))</f>
        <v>43028641</v>
      </c>
      <c r="D46" s="81" t="s">
        <v>229</v>
      </c>
      <c r="E46" s="81" t="str">
        <f>IF(テーブル5[[#This Row],[氏　　名]]="","",INDEX($P$38:$P$51,MATCH(D46,$R$38:$R$51,0)))</f>
        <v>関有知A</v>
      </c>
      <c r="F46" s="186">
        <f>IF(テーブル5[[#This Row],[氏　　名]]="","",INDEX($S$38:$S$51,MATCH(D46,$R$38:$R$51,0)))</f>
        <v>1</v>
      </c>
      <c r="G46" s="205"/>
      <c r="H46" s="205"/>
      <c r="I46" s="205"/>
      <c r="J46" s="205"/>
      <c r="K46" s="205"/>
      <c r="L46" s="206"/>
      <c r="M46" s="243" t="str">
        <f t="shared" si="2"/>
        <v/>
      </c>
      <c r="N46" s="183" t="str">
        <f t="shared" si="3"/>
        <v/>
      </c>
      <c r="P46" s="47" t="s">
        <v>264</v>
      </c>
      <c r="Q46" s="47">
        <v>47034332</v>
      </c>
      <c r="R46" s="47" t="s">
        <v>261</v>
      </c>
      <c r="S46" s="47">
        <v>1</v>
      </c>
      <c r="T46" s="29" t="str">
        <f>P47&amp;2</f>
        <v>大垣日大A2</v>
      </c>
    </row>
    <row r="47" spans="1:26" ht="21" customHeight="1">
      <c r="A47" s="127">
        <v>10</v>
      </c>
      <c r="B47" s="181" t="s">
        <v>187</v>
      </c>
      <c r="C47" s="155">
        <f>IF(テーブル5[[#This Row],[氏　　名]]="","",INDEX($Q$38:$Q$51,MATCH(D47,$R$38:$R$51,0)))</f>
        <v>47034318</v>
      </c>
      <c r="D47" s="81" t="s">
        <v>269</v>
      </c>
      <c r="E47" s="81" t="str">
        <f>IF(テーブル5[[#This Row],[氏　　名]]="","",INDEX($P$38:$P$51,MATCH(D47,$R$38:$R$51,0)))</f>
        <v>鶯谷</v>
      </c>
      <c r="F47" s="186">
        <f>IF(テーブル5[[#This Row],[氏　　名]]="","",INDEX($S$38:$S$51,MATCH(D47,$R$38:$R$51,0)))</f>
        <v>1</v>
      </c>
      <c r="G47" s="205"/>
      <c r="H47" s="205"/>
      <c r="I47" s="205"/>
      <c r="J47" s="205"/>
      <c r="K47" s="205"/>
      <c r="L47" s="206"/>
      <c r="M47" s="243" t="str">
        <f t="shared" si="2"/>
        <v/>
      </c>
      <c r="N47" s="183" t="str">
        <f t="shared" si="3"/>
        <v/>
      </c>
      <c r="P47" s="47" t="s">
        <v>264</v>
      </c>
      <c r="Q47" s="47">
        <v>47034333</v>
      </c>
      <c r="R47" s="47" t="s">
        <v>262</v>
      </c>
      <c r="S47" s="47">
        <v>1</v>
      </c>
      <c r="T47" s="29" t="str">
        <f>P47&amp;3</f>
        <v>大垣日大A3</v>
      </c>
    </row>
    <row r="48" spans="1:26" ht="21" customHeight="1">
      <c r="A48" s="127">
        <v>11</v>
      </c>
      <c r="B48" s="181" t="s">
        <v>293</v>
      </c>
      <c r="C48" s="155">
        <f>IF(テーブル5[[#This Row],[氏　　名]]="","",INDEX($Q$38:$Q$51,MATCH(D48,$R$38:$R$51,0)))</f>
        <v>47034310</v>
      </c>
      <c r="D48" s="81" t="s">
        <v>258</v>
      </c>
      <c r="E48" s="81" t="str">
        <f>IF(テーブル5[[#This Row],[氏　　名]]="","",INDEX($P$38:$P$51,MATCH(D48,$R$38:$R$51,0)))</f>
        <v>済美</v>
      </c>
      <c r="F48" s="186">
        <f>IF(テーブル5[[#This Row],[氏　　名]]="","",INDEX($S$38:$S$51,MATCH(D48,$R$38:$R$51,0)))</f>
        <v>1</v>
      </c>
      <c r="G48" s="205"/>
      <c r="H48" s="205"/>
      <c r="I48" s="205"/>
      <c r="J48" s="205"/>
      <c r="K48" s="205"/>
      <c r="L48" s="206"/>
      <c r="M48" s="243" t="str">
        <f t="shared" si="2"/>
        <v/>
      </c>
      <c r="N48" s="183" t="str">
        <f t="shared" si="3"/>
        <v/>
      </c>
      <c r="P48" s="47" t="s">
        <v>167</v>
      </c>
      <c r="Q48" s="47">
        <v>46032680</v>
      </c>
      <c r="R48" s="47" t="s">
        <v>266</v>
      </c>
      <c r="S48" s="47">
        <v>2</v>
      </c>
      <c r="T48" s="29" t="str">
        <f>P48&amp;1</f>
        <v>鶯谷A1</v>
      </c>
    </row>
    <row r="49" spans="1:20" ht="21" customHeight="1">
      <c r="A49" s="127">
        <v>12</v>
      </c>
      <c r="B49" s="181" t="s">
        <v>313</v>
      </c>
      <c r="C49" s="155">
        <f>IF(テーブル5[[#This Row],[氏　　名]]="","",INDEX($Q$38:$Q$51,MATCH(D49,$R$38:$R$51,0)))</f>
        <v>46032680</v>
      </c>
      <c r="D49" s="81" t="s">
        <v>266</v>
      </c>
      <c r="E49" s="81" t="str">
        <f>IF(テーブル5[[#This Row],[氏　　名]]="","",INDEX($P$38:$P$51,MATCH(D49,$R$38:$R$51,0)))</f>
        <v>鶯谷A</v>
      </c>
      <c r="F49" s="186">
        <f>IF(テーブル5[[#This Row],[氏　　名]]="","",INDEX($S$38:$S$51,MATCH(D49,$R$38:$R$51,0)))</f>
        <v>2</v>
      </c>
      <c r="G49" s="205"/>
      <c r="H49" s="205"/>
      <c r="I49" s="205"/>
      <c r="J49" s="205"/>
      <c r="K49" s="205"/>
      <c r="L49" s="206"/>
      <c r="M49" s="243" t="str">
        <f t="shared" si="2"/>
        <v/>
      </c>
      <c r="N49" s="183" t="str">
        <f t="shared" si="3"/>
        <v/>
      </c>
      <c r="P49" s="47" t="s">
        <v>167</v>
      </c>
      <c r="Q49" s="47">
        <v>46032681</v>
      </c>
      <c r="R49" s="47" t="s">
        <v>267</v>
      </c>
      <c r="S49" s="47">
        <v>2</v>
      </c>
      <c r="T49" s="29" t="str">
        <f>P49&amp;2</f>
        <v>鶯谷A2</v>
      </c>
    </row>
    <row r="50" spans="1:20" ht="21" customHeight="1">
      <c r="A50" s="127">
        <v>13</v>
      </c>
      <c r="B50" s="181" t="s">
        <v>294</v>
      </c>
      <c r="C50" s="155">
        <f>IF(テーブル5[[#This Row],[氏　　名]]="","",INDEX($Q$38:$Q$51,MATCH(D50,$R$38:$R$51,0)))</f>
        <v>46032651</v>
      </c>
      <c r="D50" s="81" t="s">
        <v>163</v>
      </c>
      <c r="E50" s="81" t="str">
        <f>IF(テーブル5[[#This Row],[氏　　名]]="","",INDEX($P$38:$P$51,MATCH(D50,$R$38:$R$51,0)))</f>
        <v>関有知A</v>
      </c>
      <c r="F50" s="186">
        <f>IF(テーブル5[[#This Row],[氏　　名]]="","",INDEX($S$38:$S$51,MATCH(D50,$R$38:$R$51,0)))</f>
        <v>2</v>
      </c>
      <c r="G50" s="205"/>
      <c r="H50" s="205"/>
      <c r="I50" s="205"/>
      <c r="J50" s="205"/>
      <c r="K50" s="205"/>
      <c r="L50" s="206"/>
      <c r="M50" s="243" t="str">
        <f t="shared" si="2"/>
        <v/>
      </c>
      <c r="N50" s="183" t="str">
        <f t="shared" si="3"/>
        <v/>
      </c>
      <c r="P50" s="47" t="s">
        <v>167</v>
      </c>
      <c r="Q50" s="47">
        <v>46033594</v>
      </c>
      <c r="R50" s="47" t="s">
        <v>268</v>
      </c>
      <c r="S50" s="47">
        <v>2</v>
      </c>
      <c r="T50" s="29" t="str">
        <f>P50&amp;3</f>
        <v>鶯谷A3</v>
      </c>
    </row>
    <row r="51" spans="1:20" ht="21" customHeight="1">
      <c r="A51" s="127">
        <v>14</v>
      </c>
      <c r="B51" s="181" t="s">
        <v>295</v>
      </c>
      <c r="C51" s="155">
        <f>IF(テーブル5[[#This Row],[氏　　名]]="","",INDEX($Q$38:$Q$51,MATCH(D51,$R$38:$R$51,0)))</f>
        <v>46032690</v>
      </c>
      <c r="D51" s="81" t="s">
        <v>201</v>
      </c>
      <c r="E51" s="81" t="str">
        <f>IF(テーブル5[[#This Row],[氏　　名]]="","",INDEX($P$38:$P$51,MATCH(D51,$R$38:$R$51,0)))</f>
        <v>郡上北</v>
      </c>
      <c r="F51" s="186">
        <f>IF(テーブル5[[#This Row],[氏　　名]]="","",INDEX($S$38:$S$51,MATCH(D51,$R$38:$R$51,0)))</f>
        <v>2</v>
      </c>
      <c r="G51" s="205"/>
      <c r="H51" s="205"/>
      <c r="I51" s="205"/>
      <c r="J51" s="205"/>
      <c r="K51" s="205"/>
      <c r="L51" s="206"/>
      <c r="M51" s="243" t="str">
        <f t="shared" si="2"/>
        <v/>
      </c>
      <c r="N51" s="183" t="str">
        <f t="shared" si="3"/>
        <v/>
      </c>
      <c r="P51" s="47" t="s">
        <v>166</v>
      </c>
      <c r="Q51" s="47">
        <v>47034318</v>
      </c>
      <c r="R51" s="47" t="s">
        <v>269</v>
      </c>
      <c r="S51" s="47">
        <v>1</v>
      </c>
    </row>
    <row r="52" spans="1:20" ht="21">
      <c r="B52" s="98"/>
      <c r="C52" s="98"/>
      <c r="D52" s="42"/>
      <c r="E52" s="42"/>
      <c r="F52" s="42"/>
      <c r="G52" s="100"/>
      <c r="H52" s="100"/>
      <c r="I52" s="100"/>
      <c r="J52" s="100"/>
      <c r="K52" s="100"/>
      <c r="L52" s="100"/>
      <c r="M52" s="100"/>
      <c r="N52" s="101"/>
    </row>
    <row r="53" spans="1:20" ht="15" customHeight="1">
      <c r="D53" s="66"/>
      <c r="E53" s="66"/>
      <c r="F53" s="66"/>
      <c r="G53" s="66"/>
      <c r="H53" s="66"/>
      <c r="I53" s="66"/>
      <c r="K53" s="66"/>
      <c r="L53" s="66"/>
      <c r="M53" s="66"/>
      <c r="N53" s="66"/>
    </row>
    <row r="54" spans="1:20" ht="15" customHeight="1">
      <c r="D54" s="66"/>
      <c r="E54" s="66"/>
      <c r="F54" s="66"/>
      <c r="G54" s="66"/>
      <c r="H54" s="66"/>
      <c r="I54" s="66"/>
      <c r="K54" s="66"/>
      <c r="L54" s="66"/>
      <c r="M54" s="66"/>
      <c r="N54" s="66"/>
    </row>
    <row r="55" spans="1:20" ht="15" customHeight="1">
      <c r="D55" s="66"/>
      <c r="G55" s="66"/>
      <c r="H55" s="66"/>
      <c r="I55" s="66"/>
      <c r="J55" s="66"/>
      <c r="K55" s="66"/>
      <c r="L55" s="66"/>
      <c r="M55" s="66"/>
      <c r="N55" s="66"/>
    </row>
    <row r="56" spans="1:20" ht="17.25" customHeight="1">
      <c r="D56" s="66"/>
      <c r="M56" s="29"/>
      <c r="N56" s="29"/>
    </row>
    <row r="57" spans="1:20" ht="17.25" customHeight="1">
      <c r="M57" s="29"/>
      <c r="N57" s="29"/>
    </row>
    <row r="58" spans="1:20" ht="17.25" customHeight="1">
      <c r="M58" s="29"/>
      <c r="N58" s="29"/>
    </row>
    <row r="59" spans="1:20" ht="17.25" customHeight="1">
      <c r="M59" s="29"/>
      <c r="N59" s="29"/>
    </row>
    <row r="60" spans="1:20" ht="17.25" customHeight="1">
      <c r="M60" s="29"/>
      <c r="N60" s="29"/>
    </row>
    <row r="61" spans="1:20" ht="17.25" customHeight="1">
      <c r="M61" s="29"/>
      <c r="N61" s="29"/>
    </row>
    <row r="62" spans="1:20" ht="17.25" customHeight="1">
      <c r="M62" s="29"/>
      <c r="N62" s="29"/>
    </row>
    <row r="63" spans="1:20" ht="17.25" customHeight="1">
      <c r="M63" s="29"/>
      <c r="N63" s="29"/>
    </row>
    <row r="64" spans="1:20" ht="17.25" customHeight="1">
      <c r="M64" s="29"/>
      <c r="N64" s="29"/>
    </row>
    <row r="65" spans="4:14" ht="17.25" customHeight="1">
      <c r="M65" s="29"/>
      <c r="N65" s="29"/>
    </row>
    <row r="66" spans="4:14" ht="17.25" customHeight="1">
      <c r="M66" s="29"/>
      <c r="N66" s="29"/>
    </row>
    <row r="67" spans="4:14">
      <c r="M67" s="29"/>
      <c r="N67" s="29"/>
    </row>
    <row r="68" spans="4:14">
      <c r="M68" s="29"/>
      <c r="N68" s="29"/>
    </row>
    <row r="69" spans="4:14">
      <c r="M69" s="29"/>
      <c r="N69" s="29"/>
    </row>
    <row r="70" spans="4:14">
      <c r="M70" s="29"/>
      <c r="N70" s="29"/>
    </row>
    <row r="71" spans="4:14">
      <c r="M71" s="29"/>
      <c r="N71" s="29"/>
    </row>
    <row r="72" spans="4:14">
      <c r="M72" s="29"/>
      <c r="N72" s="29"/>
    </row>
    <row r="74" spans="4:14">
      <c r="G74" s="460"/>
      <c r="H74" s="460"/>
      <c r="I74" s="460"/>
      <c r="J74" s="460"/>
    </row>
    <row r="75" spans="4:14">
      <c r="G75" s="460"/>
      <c r="H75" s="460"/>
      <c r="I75" s="460"/>
      <c r="J75" s="460"/>
    </row>
    <row r="76" spans="4:14">
      <c r="G76" s="460"/>
      <c r="H76" s="460"/>
      <c r="I76" s="460"/>
      <c r="J76" s="460"/>
    </row>
    <row r="77" spans="4:14">
      <c r="D77" s="43"/>
    </row>
  </sheetData>
  <sortState ref="B38:N51">
    <sortCondition ref="B38:B51"/>
  </sortState>
  <mergeCells count="4">
    <mergeCell ref="C1:L3"/>
    <mergeCell ref="G74:J74"/>
    <mergeCell ref="G75:J75"/>
    <mergeCell ref="G76:J76"/>
  </mergeCells>
  <phoneticPr fontId="1"/>
  <conditionalFormatting sqref="M13:M35">
    <cfRule type="cellIs" dxfId="177" priority="1" stopIfTrue="1" operator="greaterThan">
      <formula>623.9</formula>
    </cfRule>
  </conditionalFormatting>
  <printOptions horizontalCentered="1"/>
  <pageMargins left="0" right="0" top="0.39370078740157483" bottom="0" header="0" footer="0"/>
  <pageSetup paperSize="9" scale="87" orientation="portrait" r:id="rId1"/>
  <headerFooter alignWithMargins="0"/>
  <rowBreaks count="1" manualBreakCount="1">
    <brk id="35" min="1" max="16" man="1"/>
  </rowBreaks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FF00"/>
  </sheetPr>
  <dimension ref="A1:AC58"/>
  <sheetViews>
    <sheetView view="pageBreakPreview" zoomScaleNormal="100" zoomScaleSheetLayoutView="100" workbookViewId="0">
      <selection activeCell="H13" sqref="H13"/>
    </sheetView>
  </sheetViews>
  <sheetFormatPr defaultColWidth="9" defaultRowHeight="17.399999999999999"/>
  <cols>
    <col min="1" max="1" width="6.44140625" style="29" customWidth="1"/>
    <col min="2" max="2" width="11.88671875" style="29" hidden="1" customWidth="1"/>
    <col min="3" max="3" width="7.44140625" style="29" customWidth="1"/>
    <col min="4" max="4" width="11.77734375" style="29" customWidth="1"/>
    <col min="5" max="5" width="14.6640625" style="29" customWidth="1"/>
    <col min="6" max="6" width="10.6640625" style="29" bestFit="1" customWidth="1"/>
    <col min="7" max="7" width="6.44140625" style="29" customWidth="1"/>
    <col min="8" max="10" width="5.33203125" style="29" customWidth="1"/>
    <col min="11" max="11" width="5.33203125" style="62" customWidth="1"/>
    <col min="12" max="12" width="5.33203125" style="160" customWidth="1"/>
    <col min="13" max="13" width="5.33203125" style="62" customWidth="1"/>
    <col min="14" max="14" width="8.33203125" style="29" customWidth="1"/>
    <col min="15" max="15" width="6.44140625" style="29" customWidth="1"/>
    <col min="16" max="16" width="5.109375" style="29" bestFit="1" customWidth="1"/>
    <col min="17" max="17" width="2.6640625" style="29" customWidth="1"/>
    <col min="18" max="18" width="11.109375" style="29" customWidth="1"/>
    <col min="19" max="19" width="10.77734375" style="29" bestFit="1" customWidth="1"/>
    <col min="20" max="20" width="12.88671875" style="29" customWidth="1"/>
    <col min="21" max="21" width="5.44140625" style="29" bestFit="1" customWidth="1"/>
    <col min="22" max="22" width="8.77734375" style="29" customWidth="1"/>
    <col min="23" max="23" width="8.109375" style="29" customWidth="1"/>
    <col min="24" max="27" width="10.44140625" style="29" customWidth="1"/>
    <col min="28" max="29" width="11.33203125" style="29" customWidth="1"/>
    <col min="30" max="16384" width="9" style="29"/>
  </cols>
  <sheetData>
    <row r="1" spans="1:29" ht="9" customHeight="1">
      <c r="D1" s="455" t="s">
        <v>140</v>
      </c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</row>
    <row r="2" spans="1:29" ht="9" customHeight="1"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</row>
    <row r="3" spans="1:29" ht="9" customHeight="1"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</row>
    <row r="4" spans="1:29" ht="8.25" customHeight="1">
      <c r="C4" s="31"/>
      <c r="D4" s="31"/>
      <c r="E4" s="31"/>
      <c r="F4" s="31"/>
      <c r="G4" s="31"/>
      <c r="H4" s="31"/>
      <c r="I4" s="31"/>
      <c r="J4" s="31"/>
      <c r="K4" s="31"/>
      <c r="L4" s="159"/>
    </row>
    <row r="5" spans="1:29" ht="13.5" customHeight="1">
      <c r="D5" s="63">
        <v>45592</v>
      </c>
      <c r="E5" s="64">
        <f>WEEKDAY(D5)</f>
        <v>1</v>
      </c>
      <c r="F5" s="43" t="s">
        <v>117</v>
      </c>
      <c r="G5" s="43"/>
      <c r="J5" s="62"/>
    </row>
    <row r="6" spans="1:29" ht="17.25" customHeight="1">
      <c r="K6" s="29"/>
      <c r="L6" s="161"/>
      <c r="M6" s="29"/>
    </row>
    <row r="7" spans="1:29" ht="15" customHeight="1">
      <c r="E7" s="29" t="s">
        <v>110</v>
      </c>
      <c r="F7" s="43" t="s">
        <v>307</v>
      </c>
      <c r="I7" s="29" t="s">
        <v>112</v>
      </c>
      <c r="K7" s="43" t="s">
        <v>107</v>
      </c>
      <c r="M7" s="29"/>
      <c r="O7" s="62"/>
      <c r="Q7" s="62"/>
    </row>
    <row r="8" spans="1:29" ht="15" customHeight="1">
      <c r="E8" s="29" t="s">
        <v>76</v>
      </c>
      <c r="F8" s="29" t="s">
        <v>108</v>
      </c>
      <c r="I8" s="29" t="s">
        <v>296</v>
      </c>
      <c r="K8" s="43" t="s">
        <v>306</v>
      </c>
      <c r="L8" s="29"/>
      <c r="M8" s="29"/>
      <c r="O8" s="62"/>
      <c r="Q8" s="62"/>
    </row>
    <row r="9" spans="1:29" ht="15" customHeight="1">
      <c r="E9" s="29" t="s">
        <v>95</v>
      </c>
      <c r="F9" s="29" t="s">
        <v>109</v>
      </c>
      <c r="I9" s="29" t="s">
        <v>297</v>
      </c>
      <c r="K9" s="29" t="s">
        <v>305</v>
      </c>
      <c r="L9" s="29"/>
      <c r="M9" s="29"/>
      <c r="O9" s="62"/>
      <c r="Q9" s="62"/>
    </row>
    <row r="10" spans="1:29" ht="15" customHeight="1">
      <c r="K10" s="29"/>
      <c r="L10" s="29"/>
      <c r="M10" s="29"/>
      <c r="O10" s="62"/>
      <c r="Q10" s="62"/>
    </row>
    <row r="11" spans="1:29" ht="18" thickBot="1">
      <c r="B11" s="65"/>
      <c r="E11" s="29" t="s">
        <v>10</v>
      </c>
      <c r="K11" s="29"/>
      <c r="L11" s="62"/>
      <c r="N11" s="67"/>
      <c r="O11" s="62"/>
      <c r="P11" s="62"/>
      <c r="Q11" s="62"/>
      <c r="R11" s="29" t="s">
        <v>144</v>
      </c>
    </row>
    <row r="12" spans="1:29" ht="21" customHeight="1" thickBot="1">
      <c r="A12" s="124" t="s">
        <v>141</v>
      </c>
      <c r="B12" s="65" t="s">
        <v>142</v>
      </c>
      <c r="C12" s="68" t="s">
        <v>131</v>
      </c>
      <c r="D12" s="125" t="s">
        <v>135</v>
      </c>
      <c r="E12" s="165" t="s">
        <v>1</v>
      </c>
      <c r="F12" s="166" t="s">
        <v>2</v>
      </c>
      <c r="G12" s="167" t="s">
        <v>136</v>
      </c>
      <c r="H12" s="176" t="s">
        <v>125</v>
      </c>
      <c r="I12" s="165" t="s">
        <v>126</v>
      </c>
      <c r="J12" s="165" t="s">
        <v>127</v>
      </c>
      <c r="K12" s="165" t="s">
        <v>128</v>
      </c>
      <c r="L12" s="165" t="s">
        <v>129</v>
      </c>
      <c r="M12" s="167" t="s">
        <v>130</v>
      </c>
      <c r="N12" s="128" t="s">
        <v>3</v>
      </c>
      <c r="O12" s="75" t="s">
        <v>4</v>
      </c>
      <c r="P12" s="75" t="s">
        <v>81</v>
      </c>
      <c r="R12" s="47" t="s">
        <v>146</v>
      </c>
      <c r="S12" s="47" t="s">
        <v>135</v>
      </c>
      <c r="T12" s="47" t="s">
        <v>145</v>
      </c>
      <c r="U12" s="47" t="s">
        <v>136</v>
      </c>
      <c r="W12" s="47" t="s">
        <v>131</v>
      </c>
      <c r="X12" s="47" t="s">
        <v>165</v>
      </c>
      <c r="Y12" s="47" t="s">
        <v>168</v>
      </c>
      <c r="Z12" s="47" t="s">
        <v>169</v>
      </c>
      <c r="AA12" s="47" t="s">
        <v>170</v>
      </c>
      <c r="AB12" s="47" t="s">
        <v>314</v>
      </c>
      <c r="AC12" s="47" t="s">
        <v>315</v>
      </c>
    </row>
    <row r="13" spans="1:29" ht="20.25" customHeight="1">
      <c r="A13" s="126">
        <v>1</v>
      </c>
      <c r="B13" s="65" t="e">
        <f>#REF!</f>
        <v>#REF!</v>
      </c>
      <c r="C13" s="318" t="s">
        <v>134</v>
      </c>
      <c r="D13" s="322">
        <f>IF(テーブル6[[#This Row],[氏　　名]]="","",INDEX($S$13:$S$27,MATCH(E13,$T$13:$T$27,0)))</f>
        <v>45030629</v>
      </c>
      <c r="E13" s="76" t="s">
        <v>224</v>
      </c>
      <c r="F13" s="296" t="str">
        <f>IF(テーブル6[[#This Row],[氏　　名]]="","",INDEX($R$13:$R$27,MATCH(E13,$T$13:$T$27,0)))</f>
        <v>済美</v>
      </c>
      <c r="G13" s="209">
        <f>IF(テーブル6[[#This Row],[氏　　名]]="","",INDEX($U$13:$U$27,MATCH(E13,$T$13:$T$27,0)))</f>
        <v>1</v>
      </c>
      <c r="H13" s="177"/>
      <c r="I13" s="78"/>
      <c r="J13" s="78"/>
      <c r="K13" s="78"/>
      <c r="L13" s="162"/>
      <c r="M13" s="79"/>
      <c r="N13" s="303" t="str">
        <f t="shared" ref="N13:N18" si="0">IF(H13="","",SUM(H13:M13))</f>
        <v/>
      </c>
      <c r="O13" s="308" t="str">
        <f t="shared" ref="O13:O22" si="1">IF(N13="","",RANK(N13,$N$13:$N$27))</f>
        <v/>
      </c>
      <c r="P13" s="170"/>
      <c r="R13" s="47" t="s">
        <v>247</v>
      </c>
      <c r="S13" s="47">
        <v>46032662</v>
      </c>
      <c r="T13" s="47" t="s">
        <v>174</v>
      </c>
      <c r="U13" s="47">
        <v>2</v>
      </c>
      <c r="V13" s="29" t="str">
        <f>R13&amp;1</f>
        <v>郡上北A1</v>
      </c>
      <c r="W13" s="47">
        <v>1</v>
      </c>
      <c r="X13" s="47" t="str" cm="1">
        <f t="array" ref="X13">INDEX($T$13:$T$27,_xlfn.RANK.EQ(X19,$X$19:$AC$22,0))</f>
        <v>狩野　佑斗</v>
      </c>
      <c r="Y13" s="47" t="str" cm="1">
        <f t="array" ref="Y13">INDEX($T$13:$T$27,_xlfn.RANK.EQ(Y19,$X$19:$AC$22,0))</f>
        <v>伊東　淳彦</v>
      </c>
      <c r="Z13" s="47" t="str" cm="1">
        <f t="array" ref="Z13">INDEX($T$13:$T$27,_xlfn.RANK.EQ(Z19,$X$19:$AC$22,0))</f>
        <v>曽我　龍聖</v>
      </c>
      <c r="AA13" s="47" t="str" cm="1">
        <f t="array" ref="AA13">INDEX($T$13:$T$27,_xlfn.RANK.EQ(AA19,$X$19:$AC$22,0))</f>
        <v>田邉陸玖</v>
      </c>
      <c r="AB13" s="47" t="str" cm="1">
        <f t="array" ref="AB13">INDEX($T$13:$T$27,_xlfn.RANK.EQ(AB19,$X$19:$AC$22,0))</f>
        <v>花村　皇斉</v>
      </c>
      <c r="AC13" s="47" t="str" cm="1">
        <f t="array" ref="AC13">INDEX($T$13:$T$27,_xlfn.RANK.EQ(AC19,$X$19:$AC$22,0))</f>
        <v>山梨　功晴</v>
      </c>
    </row>
    <row r="14" spans="1:29" ht="20.25" customHeight="1">
      <c r="A14" s="126">
        <v>2</v>
      </c>
      <c r="B14" s="65" t="e">
        <f>#REF!</f>
        <v>#REF!</v>
      </c>
      <c r="C14" s="319" t="s">
        <v>175</v>
      </c>
      <c r="D14" s="323">
        <f>IF(テーブル6[[#This Row],[氏　　名]]="","",INDEX($S$13:$S$27,MATCH(E14,$T$13:$T$27,0)))</f>
        <v>47034304</v>
      </c>
      <c r="E14" s="81" t="s">
        <v>285</v>
      </c>
      <c r="F14" s="297" t="str">
        <f>IF(テーブル6[[#This Row],[氏　　名]]="","",INDEX($R$13:$R$27,MATCH(E14,$T$13:$T$27,0)))</f>
        <v>関有知B</v>
      </c>
      <c r="G14" s="186">
        <f>IF(テーブル6[[#This Row],[氏　　名]]="","",INDEX($U$13:$U$27,MATCH(E14,$T$13:$T$27,0)))</f>
        <v>1</v>
      </c>
      <c r="H14" s="208"/>
      <c r="I14" s="82"/>
      <c r="J14" s="82"/>
      <c r="K14" s="82"/>
      <c r="L14" s="163"/>
      <c r="M14" s="83"/>
      <c r="N14" s="304" t="str">
        <f t="shared" si="0"/>
        <v/>
      </c>
      <c r="O14" s="292" t="str">
        <f t="shared" si="1"/>
        <v/>
      </c>
      <c r="P14" s="183"/>
      <c r="R14" s="47" t="s">
        <v>247</v>
      </c>
      <c r="S14" s="47">
        <v>47034313</v>
      </c>
      <c r="T14" s="47" t="s">
        <v>246</v>
      </c>
      <c r="U14" s="47">
        <v>1</v>
      </c>
      <c r="V14" s="29" t="str">
        <f>R14&amp;2</f>
        <v>郡上北A2</v>
      </c>
      <c r="W14" s="47">
        <v>2</v>
      </c>
      <c r="X14" s="47" t="str" cm="1">
        <f t="array" ref="X14">INDEX($T$13:$T$27,_xlfn.RANK.EQ(X20,$X$19:$AC$22,0))</f>
        <v>棚橋　隼</v>
      </c>
      <c r="Y14" s="47" t="str" cm="1">
        <f t="array" ref="Y14">INDEX($T$13:$T$27,_xlfn.RANK.EQ(Y20,$X$19:$AC$22,0))</f>
        <v>金森　陸</v>
      </c>
      <c r="Z14" s="47" t="s">
        <v>236</v>
      </c>
      <c r="AA14" s="47" t="s">
        <v>282</v>
      </c>
      <c r="AB14" s="47" t="str" cm="1">
        <f t="array" ref="AB14">INDEX($T$13:$T$27,_xlfn.RANK.EQ(AB20,$X$19:$AC$22,0))</f>
        <v>清原　隼</v>
      </c>
      <c r="AC14" s="47" t="str" cm="1">
        <f t="array" ref="AC14">INDEX($T$13:$T$27,_xlfn.RANK.EQ(AC20,$X$19:$AC$22,0))</f>
        <v>小倉　虎太郎</v>
      </c>
    </row>
    <row r="15" spans="1:29" ht="20.25" customHeight="1">
      <c r="A15" s="126">
        <v>3</v>
      </c>
      <c r="B15" s="65" t="e">
        <f>#REF!</f>
        <v>#REF!</v>
      </c>
      <c r="C15" s="319" t="s">
        <v>234</v>
      </c>
      <c r="D15" s="323">
        <f>IF(テーブル6[[#This Row],[氏　　名]]="","",INDEX($S$13:$S$27,MATCH(E15,$T$13:$T$27,0)))</f>
        <v>44030237</v>
      </c>
      <c r="E15" s="95" t="s">
        <v>274</v>
      </c>
      <c r="F15" s="297" t="str">
        <f>IF(テーブル6[[#This Row],[氏　　名]]="","",INDEX($R$13:$R$27,MATCH(E15,$T$13:$T$27,0)))</f>
        <v>鶯谷A</v>
      </c>
      <c r="G15" s="186">
        <f>IF(テーブル6[[#This Row],[氏　　名]]="","",INDEX($U$13:$U$27,MATCH(E15,$T$13:$T$27,0)))</f>
        <v>2</v>
      </c>
      <c r="H15" s="208"/>
      <c r="I15" s="82"/>
      <c r="J15" s="82"/>
      <c r="K15" s="82"/>
      <c r="L15" s="163"/>
      <c r="M15" s="83"/>
      <c r="N15" s="304" t="str">
        <f t="shared" si="0"/>
        <v/>
      </c>
      <c r="O15" s="292" t="str">
        <f t="shared" si="1"/>
        <v/>
      </c>
      <c r="P15" s="183"/>
      <c r="R15" s="47" t="s">
        <v>148</v>
      </c>
      <c r="S15" s="47">
        <v>46032667</v>
      </c>
      <c r="T15" s="47" t="s">
        <v>151</v>
      </c>
      <c r="U15" s="47">
        <v>1</v>
      </c>
      <c r="V15" s="29" t="str">
        <f>R15&amp;1</f>
        <v>済美A1</v>
      </c>
      <c r="W15" s="47">
        <v>3</v>
      </c>
      <c r="AB15" s="47" t="str" cm="1">
        <f t="array" ref="AB15">INDEX($T$13:$T$27,_xlfn.RANK.EQ(AB21,$X$19:$AC$22,0))</f>
        <v>神山　颯杜</v>
      </c>
      <c r="AC15" s="47" t="str" cm="1">
        <f t="array" ref="AC15">INDEX($T$13:$T$27,_xlfn.RANK.EQ(AC21,$X$19:$AC$22,0))</f>
        <v>田上　力一</v>
      </c>
    </row>
    <row r="16" spans="1:29" ht="20.25" customHeight="1">
      <c r="A16" s="126">
        <v>4</v>
      </c>
      <c r="B16" s="65" t="e">
        <f>#REF!</f>
        <v>#REF!</v>
      </c>
      <c r="C16" s="319" t="s">
        <v>177</v>
      </c>
      <c r="D16" s="323">
        <f>IF(テーブル6[[#This Row],[氏　　名]]="","",INDEX($S$13:$S$27,MATCH(E16,$T$13:$T$27,0)))</f>
        <v>46032653</v>
      </c>
      <c r="E16" s="85" t="s">
        <v>156</v>
      </c>
      <c r="F16" s="297" t="str">
        <f>IF(テーブル6[[#This Row],[氏　　名]]="","",INDEX($R$13:$R$27,MATCH(E16,$T$13:$T$27,0)))</f>
        <v>関有知A</v>
      </c>
      <c r="G16" s="186">
        <f>IF(テーブル6[[#This Row],[氏　　名]]="","",INDEX($U$13:$U$27,MATCH(E16,$T$13:$T$27,0)))</f>
        <v>2</v>
      </c>
      <c r="H16" s="208"/>
      <c r="I16" s="82"/>
      <c r="J16" s="82"/>
      <c r="K16" s="82"/>
      <c r="L16" s="163"/>
      <c r="M16" s="83"/>
      <c r="N16" s="304" t="str">
        <f t="shared" si="0"/>
        <v/>
      </c>
      <c r="O16" s="292" t="str">
        <f t="shared" si="1"/>
        <v/>
      </c>
      <c r="P16" s="183"/>
      <c r="R16" s="47" t="s">
        <v>148</v>
      </c>
      <c r="S16" s="47">
        <v>45031949</v>
      </c>
      <c r="T16" s="47" t="s">
        <v>236</v>
      </c>
      <c r="U16" s="47">
        <v>2</v>
      </c>
      <c r="V16" s="29" t="str">
        <f>R16&amp;2</f>
        <v>済美A2</v>
      </c>
      <c r="W16" s="47">
        <v>4</v>
      </c>
      <c r="AB16" s="47" t="str" cm="1">
        <f t="array" ref="AB16">INDEX($T$13:$T$27,_xlfn.RANK.EQ(AB22,$X$19:$AC$22,0))</f>
        <v>山下元喜</v>
      </c>
    </row>
    <row r="17" spans="1:29" ht="20.25" customHeight="1">
      <c r="A17" s="126">
        <v>5</v>
      </c>
      <c r="B17" s="65" t="e">
        <f>#REF!</f>
        <v>#REF!</v>
      </c>
      <c r="C17" s="319" t="s">
        <v>287</v>
      </c>
      <c r="D17" s="323">
        <f>IF(テーブル6[[#This Row],[氏　　名]]="","",INDEX($S$13:$S$27,MATCH(E17,$T$13:$T$27,0)))</f>
        <v>46032662</v>
      </c>
      <c r="E17" s="81" t="s">
        <v>174</v>
      </c>
      <c r="F17" s="297" t="str">
        <f>IF(テーブル6[[#This Row],[氏　　名]]="","",INDEX($R$13:$R$27,MATCH(E17,$T$13:$T$27,0)))</f>
        <v>郡上北A</v>
      </c>
      <c r="G17" s="186">
        <f>IF(テーブル6[[#This Row],[氏　　名]]="","",INDEX($U$13:$U$27,MATCH(E17,$T$13:$T$27,0)))</f>
        <v>2</v>
      </c>
      <c r="H17" s="208"/>
      <c r="I17" s="82"/>
      <c r="J17" s="82"/>
      <c r="K17" s="82"/>
      <c r="L17" s="163"/>
      <c r="M17" s="83"/>
      <c r="N17" s="304" t="str">
        <f t="shared" si="0"/>
        <v/>
      </c>
      <c r="O17" s="292" t="str">
        <f t="shared" si="1"/>
        <v/>
      </c>
      <c r="P17" s="183"/>
      <c r="R17" s="47" t="s">
        <v>147</v>
      </c>
      <c r="S17" s="47">
        <v>45030629</v>
      </c>
      <c r="T17" s="47" t="s">
        <v>224</v>
      </c>
      <c r="U17" s="47">
        <v>1</v>
      </c>
    </row>
    <row r="18" spans="1:29" ht="20.25" customHeight="1">
      <c r="A18" s="126">
        <v>6</v>
      </c>
      <c r="B18" s="65" t="e">
        <f>#REF!</f>
        <v>#REF!</v>
      </c>
      <c r="C18" s="319" t="s">
        <v>179</v>
      </c>
      <c r="D18" s="323">
        <f>IF(テーブル6[[#This Row],[氏　　名]]="","",INDEX($S$13:$S$27,MATCH(E18,$T$13:$T$27,0)))</f>
        <v>45031949</v>
      </c>
      <c r="E18" s="81" t="s">
        <v>236</v>
      </c>
      <c r="F18" s="297" t="str">
        <f>IF(テーブル6[[#This Row],[氏　　名]]="","",INDEX($R$13:$R$27,MATCH(E18,$T$13:$T$27,0)))</f>
        <v>済美A</v>
      </c>
      <c r="G18" s="186">
        <f>IF(テーブル6[[#This Row],[氏　　名]]="","",INDEX($U$13:$U$27,MATCH(E18,$T$13:$T$27,0)))</f>
        <v>2</v>
      </c>
      <c r="H18" s="208"/>
      <c r="I18" s="82"/>
      <c r="J18" s="82"/>
      <c r="K18" s="82"/>
      <c r="L18" s="163"/>
      <c r="M18" s="83"/>
      <c r="N18" s="304" t="str">
        <f t="shared" si="0"/>
        <v/>
      </c>
      <c r="O18" s="292" t="str">
        <f t="shared" si="1"/>
        <v/>
      </c>
      <c r="P18" s="183"/>
      <c r="R18" s="47" t="s">
        <v>272</v>
      </c>
      <c r="S18" s="47">
        <v>47034314</v>
      </c>
      <c r="T18" s="47" t="s">
        <v>271</v>
      </c>
      <c r="U18" s="47">
        <v>1</v>
      </c>
    </row>
    <row r="19" spans="1:29" ht="20.25" customHeight="1">
      <c r="A19" s="126">
        <v>7</v>
      </c>
      <c r="B19" s="65" t="e">
        <f>#REF!</f>
        <v>#REF!</v>
      </c>
      <c r="C19" s="319" t="s">
        <v>288</v>
      </c>
      <c r="D19" s="323">
        <f>IF(テーブル6[[#This Row],[氏　　名]]="","",INDEX($S$13:$S$27,MATCH(E19,$T$13:$T$27,0)))</f>
        <v>47034313</v>
      </c>
      <c r="E19" s="81" t="s">
        <v>340</v>
      </c>
      <c r="F19" s="297" t="str">
        <f>IF(テーブル6[[#This Row],[氏　　名]]="","",INDEX($R$13:$R$27,MATCH(E19,$T$13:$T$27,0)))</f>
        <v>郡上北A</v>
      </c>
      <c r="G19" s="186">
        <f>IF(テーブル6[[#This Row],[氏　　名]]="","",INDEX($U$13:$U$27,MATCH(E19,$T$13:$T$27,0)))</f>
        <v>1</v>
      </c>
      <c r="H19" s="208"/>
      <c r="I19" s="82"/>
      <c r="J19" s="82"/>
      <c r="K19" s="82"/>
      <c r="L19" s="163"/>
      <c r="M19" s="83"/>
      <c r="N19" s="304" t="str">
        <f t="shared" ref="N19:N20" si="2">IF(H19="","",SUM(H19:M19))</f>
        <v/>
      </c>
      <c r="O19" s="292" t="str">
        <f t="shared" si="1"/>
        <v/>
      </c>
      <c r="P19" s="183"/>
      <c r="R19" s="47" t="s">
        <v>152</v>
      </c>
      <c r="S19" s="47">
        <v>47034325</v>
      </c>
      <c r="T19" s="47" t="s">
        <v>273</v>
      </c>
      <c r="U19" s="47">
        <v>1</v>
      </c>
      <c r="X19" s="29">
        <v>0.96832451311805856</v>
      </c>
      <c r="Y19" s="29">
        <v>0.69721047987434948</v>
      </c>
      <c r="Z19" s="29">
        <v>0.97066017851618136</v>
      </c>
      <c r="AA19" s="29">
        <v>0.78764060152677873</v>
      </c>
      <c r="AB19" s="29">
        <v>0.20545155446890218</v>
      </c>
      <c r="AC19" s="29">
        <v>0.56012144005895648</v>
      </c>
    </row>
    <row r="20" spans="1:29" ht="20.25" customHeight="1">
      <c r="A20" s="126">
        <v>8</v>
      </c>
      <c r="B20" s="65" t="e">
        <f>#REF!</f>
        <v>#REF!</v>
      </c>
      <c r="C20" s="319" t="s">
        <v>180</v>
      </c>
      <c r="D20" s="323">
        <f>IF(テーブル6[[#This Row],[氏　　名]]="","",INDEX($S$13:$S$27,MATCH(E20,$T$13:$T$27,0)))</f>
        <v>47034298</v>
      </c>
      <c r="E20" s="81" t="s">
        <v>282</v>
      </c>
      <c r="F20" s="297" t="str">
        <f>IF(テーブル6[[#This Row],[氏　　名]]="","",INDEX($R$13:$R$27,MATCH(E20,$T$13:$T$27,0)))</f>
        <v>関有知A</v>
      </c>
      <c r="G20" s="186">
        <f>IF(テーブル6[[#This Row],[氏　　名]]="","",INDEX($U$13:$U$27,MATCH(E20,$T$13:$T$27,0)))</f>
        <v>1</v>
      </c>
      <c r="H20" s="208"/>
      <c r="I20" s="82"/>
      <c r="J20" s="82"/>
      <c r="K20" s="82"/>
      <c r="L20" s="163"/>
      <c r="M20" s="83"/>
      <c r="N20" s="304" t="str">
        <f t="shared" si="2"/>
        <v/>
      </c>
      <c r="O20" s="292" t="str">
        <f t="shared" si="1"/>
        <v/>
      </c>
      <c r="P20" s="183"/>
      <c r="R20" s="47" t="s">
        <v>167</v>
      </c>
      <c r="S20" s="47">
        <v>44030237</v>
      </c>
      <c r="T20" s="47" t="s">
        <v>274</v>
      </c>
      <c r="U20" s="47">
        <v>2</v>
      </c>
      <c r="V20" s="29" t="str">
        <f>R20&amp;1</f>
        <v>鶯谷A1</v>
      </c>
      <c r="X20" s="29">
        <v>0.35440019234649756</v>
      </c>
      <c r="Y20" s="29">
        <v>0.54898107810696395</v>
      </c>
      <c r="Z20" s="29">
        <v>0.50215201083051653</v>
      </c>
      <c r="AA20" s="29">
        <v>0.83797510680054588</v>
      </c>
      <c r="AB20" s="29">
        <v>0.60594426615937491</v>
      </c>
      <c r="AC20" s="29">
        <v>0.7493832168601734</v>
      </c>
    </row>
    <row r="21" spans="1:29" ht="20.25" customHeight="1">
      <c r="A21" s="126">
        <v>9</v>
      </c>
      <c r="B21" s="65" t="e">
        <f>#REF!</f>
        <v>#REF!</v>
      </c>
      <c r="C21" s="319" t="s">
        <v>289</v>
      </c>
      <c r="D21" s="323">
        <f>IF(テーブル6[[#This Row],[氏　　名]]="","",INDEX($S$13:$S$27,MATCH(E21,$T$13:$T$27,0)))</f>
        <v>47034303</v>
      </c>
      <c r="E21" s="81" t="s">
        <v>286</v>
      </c>
      <c r="F21" s="297" t="str">
        <f>IF(テーブル6[[#This Row],[氏　　名]]="","",INDEX($R$13:$R$27,MATCH(E21,$T$13:$T$27,0)))</f>
        <v>関有知</v>
      </c>
      <c r="G21" s="186">
        <f>IF(テーブル6[[#This Row],[氏　　名]]="","",INDEX($U$13:$U$27,MATCH(E21,$T$13:$T$27,0)))</f>
        <v>1</v>
      </c>
      <c r="H21" s="208"/>
      <c r="I21" s="82"/>
      <c r="J21" s="82"/>
      <c r="K21" s="82"/>
      <c r="L21" s="163"/>
      <c r="M21" s="83"/>
      <c r="N21" s="304" t="str">
        <f>IF(H21="","",SUM(H21:M21))</f>
        <v/>
      </c>
      <c r="O21" s="292" t="str">
        <f t="shared" si="1"/>
        <v/>
      </c>
      <c r="P21" s="183"/>
      <c r="R21" s="47" t="s">
        <v>167</v>
      </c>
      <c r="S21" s="47">
        <v>47034315</v>
      </c>
      <c r="T21" s="47" t="s">
        <v>275</v>
      </c>
      <c r="U21" s="47">
        <v>1</v>
      </c>
      <c r="V21" s="29" t="str">
        <f>R21&amp;2</f>
        <v>鶯谷A2</v>
      </c>
      <c r="AB21" s="29">
        <v>0.41824156039782856</v>
      </c>
      <c r="AC21" s="29">
        <v>0.71565631971120824</v>
      </c>
    </row>
    <row r="22" spans="1:29" ht="20.25" customHeight="1">
      <c r="A22" s="126">
        <v>10</v>
      </c>
      <c r="B22" s="65" t="e">
        <f>#REF!</f>
        <v>#REF!</v>
      </c>
      <c r="C22" s="320" t="s">
        <v>290</v>
      </c>
      <c r="D22" s="323">
        <f>IF(テーブル6[[#This Row],[氏　　名]]="","",INDEX($S$13:$S$27,MATCH(E22,$T$13:$T$27,0)))</f>
        <v>47034315</v>
      </c>
      <c r="E22" s="157" t="s">
        <v>275</v>
      </c>
      <c r="F22" s="297" t="str">
        <f>IF(テーブル6[[#This Row],[氏　　名]]="","",INDEX($R$13:$R$27,MATCH(E22,$T$13:$T$27,0)))</f>
        <v>鶯谷A</v>
      </c>
      <c r="G22" s="186">
        <f>IF(テーブル6[[#This Row],[氏　　名]]="","",INDEX($U$13:$U$27,MATCH(E22,$T$13:$T$27,0)))</f>
        <v>1</v>
      </c>
      <c r="H22" s="289"/>
      <c r="I22" s="290"/>
      <c r="J22" s="290"/>
      <c r="K22" s="290"/>
      <c r="L22" s="67"/>
      <c r="M22" s="291"/>
      <c r="N22" s="305" t="str">
        <f>IF(H22="","",SUM(H22:M22))</f>
        <v/>
      </c>
      <c r="O22" s="293" t="str">
        <f t="shared" si="1"/>
        <v/>
      </c>
      <c r="P22" s="309"/>
      <c r="R22" s="47" t="s">
        <v>166</v>
      </c>
      <c r="S22" s="47">
        <v>47034316</v>
      </c>
      <c r="T22" s="47" t="s">
        <v>276</v>
      </c>
      <c r="U22" s="47">
        <v>1</v>
      </c>
      <c r="AB22" s="29">
        <v>0.92975914584178521</v>
      </c>
    </row>
    <row r="23" spans="1:29" ht="20.25" customHeight="1">
      <c r="A23" s="126">
        <v>11</v>
      </c>
      <c r="B23" s="294" t="e">
        <f>#REF!</f>
        <v>#REF!</v>
      </c>
      <c r="C23" s="319" t="s">
        <v>291</v>
      </c>
      <c r="D23" s="323">
        <f>IF(テーブル6[[#This Row],[氏　　名]]="","",INDEX($S$13:$S$27,MATCH(E23,$T$13:$T$27,0)))</f>
        <v>47034301</v>
      </c>
      <c r="E23" s="157" t="s">
        <v>284</v>
      </c>
      <c r="F23" s="297" t="str">
        <f>IF(テーブル6[[#This Row],[氏　　名]]="","",INDEX($R$13:$R$27,MATCH(E23,$T$13:$T$27,0)))</f>
        <v>関有知B</v>
      </c>
      <c r="G23" s="186">
        <f>IF(テーブル6[[#This Row],[氏　　名]]="","",INDEX($U$13:$U$27,MATCH(E23,$T$13:$T$27,0)))</f>
        <v>1</v>
      </c>
      <c r="H23" s="208"/>
      <c r="I23" s="82"/>
      <c r="J23" s="82"/>
      <c r="K23" s="82"/>
      <c r="L23" s="82"/>
      <c r="M23" s="300"/>
      <c r="N23" s="306" t="str">
        <f t="shared" ref="N23:N27" si="3">IF(H23="","",SUM(H23:M23))</f>
        <v/>
      </c>
      <c r="O23" s="183" t="str">
        <f t="shared" ref="O23:O27" si="4">IF(N23="","",RANK(N23,$N$13:$N$27))</f>
        <v/>
      </c>
      <c r="P23" s="183"/>
      <c r="R23" s="47" t="s">
        <v>160</v>
      </c>
      <c r="S23" s="47">
        <v>46032653</v>
      </c>
      <c r="T23" s="47" t="s">
        <v>156</v>
      </c>
      <c r="U23" s="47">
        <v>2</v>
      </c>
      <c r="V23" s="29" t="str">
        <f>R23&amp;1</f>
        <v>関有知A1</v>
      </c>
    </row>
    <row r="24" spans="1:29" ht="20.25" customHeight="1">
      <c r="A24" s="126">
        <v>12</v>
      </c>
      <c r="B24" s="294" t="e">
        <f>#REF!</f>
        <v>#REF!</v>
      </c>
      <c r="C24" s="319" t="s">
        <v>294</v>
      </c>
      <c r="D24" s="323">
        <f>IF(テーブル6[[#This Row],[氏　　名]]="","",INDEX($S$13:$S$27,MATCH(E24,$T$13:$T$27,0)))</f>
        <v>46032667</v>
      </c>
      <c r="E24" s="157" t="s">
        <v>151</v>
      </c>
      <c r="F24" s="297" t="str">
        <f>IF(テーブル6[[#This Row],[氏　　名]]="","",INDEX($R$13:$R$27,MATCH(E24,$T$13:$T$27,0)))</f>
        <v>済美A</v>
      </c>
      <c r="G24" s="186">
        <f>IF(テーブル6[[#This Row],[氏　　名]]="","",INDEX($U$13:$U$27,MATCH(E24,$T$13:$T$27,0)))</f>
        <v>1</v>
      </c>
      <c r="H24" s="208"/>
      <c r="I24" s="82"/>
      <c r="J24" s="82"/>
      <c r="K24" s="82"/>
      <c r="L24" s="82"/>
      <c r="M24" s="300"/>
      <c r="N24" s="306" t="str">
        <f t="shared" si="3"/>
        <v/>
      </c>
      <c r="O24" s="183" t="str">
        <f t="shared" si="4"/>
        <v/>
      </c>
      <c r="P24" s="183"/>
      <c r="R24" s="47" t="s">
        <v>160</v>
      </c>
      <c r="S24" s="47">
        <v>47034298</v>
      </c>
      <c r="T24" s="47" t="s">
        <v>282</v>
      </c>
      <c r="U24" s="47">
        <v>1</v>
      </c>
      <c r="V24" s="29" t="str">
        <f>R24&amp;2</f>
        <v>関有知A2</v>
      </c>
    </row>
    <row r="25" spans="1:29" ht="20.25" customHeight="1">
      <c r="A25" s="126">
        <v>13</v>
      </c>
      <c r="B25" s="294" t="e">
        <f>#REF!</f>
        <v>#REF!</v>
      </c>
      <c r="C25" s="319" t="s">
        <v>302</v>
      </c>
      <c r="D25" s="323">
        <f>IF(テーブル6[[#This Row],[氏　　名]]="","",INDEX($S$13:$S$27,MATCH(E25,$T$13:$T$27,0)))</f>
        <v>47034316</v>
      </c>
      <c r="E25" s="157" t="s">
        <v>276</v>
      </c>
      <c r="F25" s="297" t="str">
        <f>IF(テーブル6[[#This Row],[氏　　名]]="","",INDEX($R$13:$R$27,MATCH(E25,$T$13:$T$27,0)))</f>
        <v>鶯谷</v>
      </c>
      <c r="G25" s="186">
        <f>IF(テーブル6[[#This Row],[氏　　名]]="","",INDEX($U$13:$U$27,MATCH(E25,$T$13:$T$27,0)))</f>
        <v>1</v>
      </c>
      <c r="H25" s="208"/>
      <c r="I25" s="82"/>
      <c r="J25" s="82"/>
      <c r="K25" s="82"/>
      <c r="L25" s="82"/>
      <c r="M25" s="300"/>
      <c r="N25" s="306" t="str">
        <f t="shared" si="3"/>
        <v/>
      </c>
      <c r="O25" s="183" t="str">
        <f t="shared" si="4"/>
        <v/>
      </c>
      <c r="P25" s="183"/>
      <c r="R25" s="47" t="s">
        <v>283</v>
      </c>
      <c r="S25" s="47">
        <v>47034301</v>
      </c>
      <c r="T25" s="47" t="s">
        <v>284</v>
      </c>
      <c r="U25" s="47">
        <v>1</v>
      </c>
      <c r="V25" s="29" t="str">
        <f t="shared" ref="V25" si="5">R25&amp;1</f>
        <v>関有知B1</v>
      </c>
    </row>
    <row r="26" spans="1:29" ht="20.25" customHeight="1">
      <c r="A26" s="126">
        <v>14</v>
      </c>
      <c r="B26" s="294" t="e">
        <f>#REF!</f>
        <v>#REF!</v>
      </c>
      <c r="C26" s="319" t="s">
        <v>303</v>
      </c>
      <c r="D26" s="323">
        <f>IF(テーブル6[[#This Row],[氏　　名]]="","",INDEX($S$13:$S$27,MATCH(E26,$T$13:$T$27,0)))</f>
        <v>47034314</v>
      </c>
      <c r="E26" s="157" t="s">
        <v>271</v>
      </c>
      <c r="F26" s="297" t="str">
        <f>IF(テーブル6[[#This Row],[氏　　名]]="","",INDEX($R$13:$R$27,MATCH(E26,$T$13:$T$27,0)))</f>
        <v>郡上北</v>
      </c>
      <c r="G26" s="186">
        <f>IF(テーブル6[[#This Row],[氏　　名]]="","",INDEX($U$13:$U$27,MATCH(E26,$T$13:$T$27,0)))</f>
        <v>1</v>
      </c>
      <c r="H26" s="208"/>
      <c r="I26" s="82"/>
      <c r="J26" s="82"/>
      <c r="K26" s="82"/>
      <c r="L26" s="82"/>
      <c r="M26" s="300"/>
      <c r="N26" s="306" t="str">
        <f t="shared" si="3"/>
        <v/>
      </c>
      <c r="O26" s="183" t="str">
        <f t="shared" si="4"/>
        <v/>
      </c>
      <c r="P26" s="183"/>
      <c r="R26" s="47" t="s">
        <v>283</v>
      </c>
      <c r="S26" s="47">
        <v>47034304</v>
      </c>
      <c r="T26" s="47" t="s">
        <v>285</v>
      </c>
      <c r="U26" s="47">
        <v>1</v>
      </c>
      <c r="V26" s="29" t="str">
        <f>R26&amp;2</f>
        <v>関有知B2</v>
      </c>
    </row>
    <row r="27" spans="1:29" ht="20.25" customHeight="1" thickBot="1">
      <c r="A27" s="126">
        <v>15</v>
      </c>
      <c r="B27" s="294" t="e">
        <f>#REF!</f>
        <v>#REF!</v>
      </c>
      <c r="C27" s="321" t="s">
        <v>304</v>
      </c>
      <c r="D27" s="324">
        <f>IF(テーブル6[[#This Row],[氏　　名]]="","",INDEX($S$13:$S$27,MATCH(E27,$T$13:$T$27,0)))</f>
        <v>47034325</v>
      </c>
      <c r="E27" s="295" t="s">
        <v>273</v>
      </c>
      <c r="F27" s="298" t="str">
        <f>IF(テーブル6[[#This Row],[氏　　名]]="","",INDEX($R$13:$R$27,MATCH(E27,$T$13:$T$27,0)))</f>
        <v>大垣日大</v>
      </c>
      <c r="G27" s="179">
        <f>IF(テーブル6[[#This Row],[氏　　名]]="","",INDEX($U$13:$U$27,MATCH(E27,$T$13:$T$27,0)))</f>
        <v>1</v>
      </c>
      <c r="H27" s="178"/>
      <c r="I27" s="87"/>
      <c r="J27" s="87"/>
      <c r="K27" s="87"/>
      <c r="L27" s="87"/>
      <c r="M27" s="302"/>
      <c r="N27" s="307" t="str">
        <f t="shared" si="3"/>
        <v/>
      </c>
      <c r="O27" s="175" t="str">
        <f t="shared" si="4"/>
        <v/>
      </c>
      <c r="P27" s="175"/>
      <c r="R27" s="47" t="s">
        <v>164</v>
      </c>
      <c r="S27" s="47">
        <v>47034303</v>
      </c>
      <c r="T27" s="47" t="s">
        <v>286</v>
      </c>
      <c r="U27" s="47">
        <v>1</v>
      </c>
    </row>
    <row r="28" spans="1:29" ht="20.25" customHeight="1">
      <c r="B28" s="65" t="e">
        <f>#REF!</f>
        <v>#REF!</v>
      </c>
      <c r="C28" s="62"/>
      <c r="D28" s="62"/>
      <c r="E28" s="88"/>
      <c r="F28" s="42"/>
      <c r="G28" s="42"/>
      <c r="H28" s="67"/>
      <c r="I28" s="67"/>
      <c r="J28" s="67"/>
      <c r="K28" s="67"/>
      <c r="L28" s="67"/>
      <c r="M28" s="67"/>
      <c r="N28" s="67"/>
      <c r="O28" s="62"/>
      <c r="P28" s="62"/>
    </row>
    <row r="29" spans="1:29" ht="20.25" customHeight="1" thickBot="1">
      <c r="B29" s="65"/>
      <c r="E29" s="89" t="s">
        <v>9</v>
      </c>
      <c r="H29" s="61"/>
      <c r="I29" s="61"/>
      <c r="J29" s="61"/>
      <c r="K29" s="61"/>
      <c r="L29" s="61"/>
      <c r="M29" s="61"/>
      <c r="N29" s="67"/>
      <c r="O29" s="62"/>
      <c r="P29" s="62"/>
      <c r="R29" s="29" t="s">
        <v>144</v>
      </c>
    </row>
    <row r="30" spans="1:29" ht="21" customHeight="1" thickBot="1">
      <c r="A30" s="164" t="s">
        <v>141</v>
      </c>
      <c r="B30" s="65" t="s">
        <v>124</v>
      </c>
      <c r="C30" s="68" t="s">
        <v>131</v>
      </c>
      <c r="D30" s="125" t="s">
        <v>135</v>
      </c>
      <c r="E30" s="165" t="s">
        <v>1</v>
      </c>
      <c r="F30" s="166" t="s">
        <v>2</v>
      </c>
      <c r="G30" s="167" t="s">
        <v>136</v>
      </c>
      <c r="H30" s="176" t="s">
        <v>125</v>
      </c>
      <c r="I30" s="165" t="s">
        <v>126</v>
      </c>
      <c r="J30" s="165" t="s">
        <v>127</v>
      </c>
      <c r="K30" s="165" t="s">
        <v>128</v>
      </c>
      <c r="L30" s="165" t="s">
        <v>129</v>
      </c>
      <c r="M30" s="167" t="s">
        <v>130</v>
      </c>
      <c r="N30" s="75" t="s">
        <v>3</v>
      </c>
      <c r="O30" s="210" t="s">
        <v>4</v>
      </c>
      <c r="P30" s="210" t="s">
        <v>81</v>
      </c>
      <c r="R30" s="47" t="s">
        <v>146</v>
      </c>
      <c r="S30" s="47" t="s">
        <v>135</v>
      </c>
      <c r="T30" s="47" t="s">
        <v>145</v>
      </c>
      <c r="U30" s="47" t="s">
        <v>136</v>
      </c>
      <c r="W30" s="47" t="s">
        <v>131</v>
      </c>
      <c r="X30" s="47" t="s">
        <v>165</v>
      </c>
      <c r="Y30" s="47" t="s">
        <v>168</v>
      </c>
      <c r="Z30" s="47" t="s">
        <v>169</v>
      </c>
      <c r="AA30" s="47" t="s">
        <v>170</v>
      </c>
    </row>
    <row r="31" spans="1:29" ht="20.25" customHeight="1">
      <c r="A31" s="168">
        <v>1</v>
      </c>
      <c r="B31" s="169"/>
      <c r="C31" s="180" t="s">
        <v>182</v>
      </c>
      <c r="D31" s="77">
        <f>IF(テーブル7[[#This Row],[氏　　名]]="","",INDEX($S$31:$S$38,MATCH(E31,$T$31:$T$38,0)))</f>
        <v>46032682</v>
      </c>
      <c r="E31" s="76" t="s">
        <v>277</v>
      </c>
      <c r="F31" s="76" t="str">
        <f>IF(テーブル7[[#This Row],[氏　　名]]="","",INDEX($R$31:$R$38,MATCH(E31,$T$31:$T$38,0)))</f>
        <v>鶯谷A</v>
      </c>
      <c r="G31" s="310">
        <f>IF(テーブル7[[#This Row],[氏　　名]]="","",INDEX($U$31:$U$38,MATCH(E31,$T$31:$T$38,0)))</f>
        <v>2</v>
      </c>
      <c r="H31" s="299"/>
      <c r="I31" s="78"/>
      <c r="J31" s="78"/>
      <c r="K31" s="78"/>
      <c r="L31" s="78"/>
      <c r="M31" s="403"/>
      <c r="N31" s="306" t="str">
        <f t="shared" ref="N31:N38" si="6">IF(H31="","",SUM(H31:M31))</f>
        <v/>
      </c>
      <c r="O31" s="406" t="str">
        <f>IF(N31="","",RANK(N31,$N$31:$N$38))</f>
        <v/>
      </c>
      <c r="P31" s="170"/>
      <c r="R31" s="47" t="s">
        <v>147</v>
      </c>
      <c r="S31" s="47">
        <v>47034311</v>
      </c>
      <c r="T31" s="47" t="s">
        <v>270</v>
      </c>
      <c r="U31" s="47">
        <v>1</v>
      </c>
      <c r="W31" s="47">
        <v>3</v>
      </c>
      <c r="X31" s="47" t="str" cm="1">
        <f t="array" ref="X31">INDEX($T$31:$T$38,_xlfn.RANK.EQ(X35,$X$35:$AA$36,0))</f>
        <v>橋本  優</v>
      </c>
      <c r="Y31" s="47" t="str" cm="1">
        <f t="array" ref="Y31">INDEX($T$31:$T$38,_xlfn.RANK.EQ(Y35,$X$35:$AA$36,0))</f>
        <v>柚木紹</v>
      </c>
      <c r="Z31" s="47" t="str" cm="1">
        <f t="array" ref="Z31">INDEX($T$31:$T$38,_xlfn.RANK.EQ(Z35,$X$35:$AA$36,0))</f>
        <v>中島　結彩</v>
      </c>
      <c r="AA31" s="47" t="str" cm="1">
        <f t="array" ref="AA31">INDEX($T$31:$T$38,_xlfn.RANK.EQ(AA35,$X$35:$AA$36,0))</f>
        <v>関　　希</v>
      </c>
    </row>
    <row r="32" spans="1:29" ht="20.25" customHeight="1">
      <c r="A32" s="217">
        <v>2</v>
      </c>
      <c r="B32" s="222"/>
      <c r="C32" s="181" t="s">
        <v>176</v>
      </c>
      <c r="D32" s="287">
        <f>IF(テーブル7[[#This Row],[氏　　名]]="","",INDEX($S$31:$S$38,MATCH(E32,$T$31:$T$38,0)))</f>
        <v>47034331</v>
      </c>
      <c r="E32" s="85" t="s">
        <v>260</v>
      </c>
      <c r="F32" s="81" t="str">
        <f>IF(テーブル7[[#This Row],[氏　　名]]="","",INDEX($R$31:$R$38,MATCH(E32,$T$31:$T$38,0)))</f>
        <v>大垣日大A</v>
      </c>
      <c r="G32" s="297">
        <f>IF(テーブル7[[#This Row],[氏　　名]]="","",INDEX($U$31:$U$38,MATCH(E32,$T$31:$T$38,0)))</f>
        <v>1</v>
      </c>
      <c r="H32" s="288"/>
      <c r="I32" s="82"/>
      <c r="J32" s="82"/>
      <c r="K32" s="82"/>
      <c r="L32" s="82"/>
      <c r="M32" s="404"/>
      <c r="N32" s="306" t="str">
        <f t="shared" si="6"/>
        <v/>
      </c>
      <c r="O32" s="407"/>
      <c r="P32" s="183"/>
      <c r="R32" s="47" t="s">
        <v>238</v>
      </c>
      <c r="S32" s="47">
        <v>44028962</v>
      </c>
      <c r="T32" s="47" t="s">
        <v>237</v>
      </c>
      <c r="U32" s="47">
        <v>1</v>
      </c>
      <c r="W32" s="47">
        <v>4</v>
      </c>
      <c r="X32" s="47" t="str" cm="1">
        <f t="array" ref="X32">INDEX($T$31:$T$38,_xlfn.RANK.EQ(X36,$X$35:$AA$36,0))</f>
        <v>角　　律希</v>
      </c>
      <c r="Y32" s="47" t="str" cm="1">
        <f t="array" ref="Y32">INDEX($T$31:$T$38,_xlfn.RANK.EQ(Y36,$X$35:$AA$36,0))</f>
        <v>藤井　音緒</v>
      </c>
      <c r="Z32" s="47" t="str" cm="1">
        <f t="array" ref="Z32">INDEX($T$31:$T$38,_xlfn.RANK.EQ(Z36,$X$35:$AA$36,0))</f>
        <v>東　莉杏</v>
      </c>
      <c r="AA32" s="47" t="str" cm="1">
        <f t="array" ref="AA32">INDEX($T$31:$T$38,_xlfn.RANK.EQ(AA36,$X$35:$AA$36,0))</f>
        <v>森　千紘</v>
      </c>
    </row>
    <row r="33" spans="1:27" ht="20.25" customHeight="1">
      <c r="A33" s="217">
        <v>3</v>
      </c>
      <c r="B33" s="222"/>
      <c r="C33" s="181" t="s">
        <v>183</v>
      </c>
      <c r="D33" s="287">
        <f>IF(テーブル7[[#This Row],[氏　　名]]="","",INDEX($S$31:$S$38,MATCH(E33,$T$31:$T$38,0)))</f>
        <v>47034311</v>
      </c>
      <c r="E33" s="85" t="s">
        <v>270</v>
      </c>
      <c r="F33" s="81" t="str">
        <f>IF(テーブル7[[#This Row],[氏　　名]]="","",INDEX($R$31:$R$38,MATCH(E33,$T$31:$T$38,0)))</f>
        <v>済美</v>
      </c>
      <c r="G33" s="297">
        <f>IF(テーブル7[[#This Row],[氏　　名]]="","",INDEX($U$31:$U$38,MATCH(E33,$T$31:$T$38,0)))</f>
        <v>1</v>
      </c>
      <c r="H33" s="288"/>
      <c r="I33" s="82"/>
      <c r="J33" s="82"/>
      <c r="K33" s="82"/>
      <c r="L33" s="82"/>
      <c r="M33" s="404"/>
      <c r="N33" s="306" t="str">
        <f t="shared" si="6"/>
        <v/>
      </c>
      <c r="O33" s="407"/>
      <c r="P33" s="183"/>
      <c r="R33" s="47" t="s">
        <v>263</v>
      </c>
      <c r="S33" s="47">
        <v>47034331</v>
      </c>
      <c r="T33" s="47" t="s">
        <v>260</v>
      </c>
      <c r="U33" s="47">
        <v>1</v>
      </c>
      <c r="V33" s="29" t="str">
        <f>R33&amp;1</f>
        <v>大垣日大A1</v>
      </c>
    </row>
    <row r="34" spans="1:27" ht="20.25" customHeight="1">
      <c r="A34" s="217">
        <v>4</v>
      </c>
      <c r="B34" s="222"/>
      <c r="C34" s="181" t="s">
        <v>188</v>
      </c>
      <c r="D34" s="287" t="str">
        <f>IF(テーブル7[[#This Row],[氏　　名]]="","",INDEX($S$31:$S$38,MATCH(E34,$T$31:$T$38,0)))</f>
        <v>申請中</v>
      </c>
      <c r="E34" s="85" t="s">
        <v>280</v>
      </c>
      <c r="F34" s="81" t="str">
        <f>IF(テーブル7[[#This Row],[氏　　名]]="","",INDEX($R$31:$R$38,MATCH(E34,$T$31:$T$38,0)))</f>
        <v>鶯谷B</v>
      </c>
      <c r="G34" s="297">
        <f>IF(テーブル7[[#This Row],[氏　　名]]="","",INDEX($U$31:$U$38,MATCH(E34,$T$31:$T$38,0)))</f>
        <v>1</v>
      </c>
      <c r="H34" s="288"/>
      <c r="I34" s="82"/>
      <c r="J34" s="82"/>
      <c r="K34" s="82"/>
      <c r="L34" s="82"/>
      <c r="M34" s="404"/>
      <c r="N34" s="306" t="str">
        <f t="shared" si="6"/>
        <v/>
      </c>
      <c r="O34" s="407"/>
      <c r="P34" s="183"/>
      <c r="R34" s="47" t="s">
        <v>263</v>
      </c>
      <c r="S34" s="47">
        <v>47034333</v>
      </c>
      <c r="T34" s="47" t="s">
        <v>262</v>
      </c>
      <c r="U34" s="47">
        <v>1</v>
      </c>
      <c r="V34" s="29" t="str">
        <f>R34&amp;2</f>
        <v>大垣日大A2</v>
      </c>
    </row>
    <row r="35" spans="1:27" ht="20.25" customHeight="1">
      <c r="A35" s="217">
        <v>5</v>
      </c>
      <c r="B35" s="222"/>
      <c r="C35" s="181" t="s">
        <v>184</v>
      </c>
      <c r="D35" s="287">
        <f>IF(テーブル7[[#This Row],[氏　　名]]="","",INDEX($S$31:$S$38,MATCH(E35,$T$31:$T$38,0)))</f>
        <v>44028962</v>
      </c>
      <c r="E35" s="85" t="s">
        <v>237</v>
      </c>
      <c r="F35" s="81" t="str">
        <f>IF(テーブル7[[#This Row],[氏　　名]]="","",INDEX($R$31:$R$38,MATCH(E35,$T$31:$T$38,0)))</f>
        <v>岐阜北</v>
      </c>
      <c r="G35" s="297">
        <f>IF(テーブル7[[#This Row],[氏　　名]]="","",INDEX($U$31:$U$38,MATCH(E35,$T$31:$T$38,0)))</f>
        <v>1</v>
      </c>
      <c r="H35" s="288"/>
      <c r="I35" s="82"/>
      <c r="J35" s="82"/>
      <c r="K35" s="82"/>
      <c r="L35" s="82"/>
      <c r="M35" s="404"/>
      <c r="N35" s="306" t="str">
        <f t="shared" si="6"/>
        <v/>
      </c>
      <c r="O35" s="407"/>
      <c r="P35" s="183"/>
      <c r="R35" s="47" t="s">
        <v>265</v>
      </c>
      <c r="S35" s="47">
        <v>46032682</v>
      </c>
      <c r="T35" s="47" t="s">
        <v>277</v>
      </c>
      <c r="U35" s="47">
        <v>2</v>
      </c>
      <c r="V35" s="29" t="str">
        <f t="shared" ref="V35:V37" si="7">R35&amp;1</f>
        <v>鶯谷A1</v>
      </c>
      <c r="X35" s="29">
        <v>0.3856900776631762</v>
      </c>
      <c r="Y35" s="29">
        <v>0.87386954891268287</v>
      </c>
      <c r="Z35" s="29">
        <v>0.68155862411951418</v>
      </c>
      <c r="AA35" s="29">
        <v>0.52395540497418092</v>
      </c>
    </row>
    <row r="36" spans="1:27" ht="20.25" customHeight="1">
      <c r="A36" s="217">
        <v>6</v>
      </c>
      <c r="B36" s="222"/>
      <c r="C36" s="181" t="s">
        <v>185</v>
      </c>
      <c r="D36" s="287" t="str">
        <f>IF(テーブル7[[#This Row],[氏　　名]]="","",INDEX($S$31:$S$38,MATCH(E36,$T$31:$T$38,0)))</f>
        <v>申請中</v>
      </c>
      <c r="E36" s="85" t="s">
        <v>279</v>
      </c>
      <c r="F36" s="81" t="str">
        <f>IF(テーブル7[[#This Row],[氏　　名]]="","",INDEX($R$31:$R$38,MATCH(E36,$T$31:$T$38,0)))</f>
        <v>鶯谷B</v>
      </c>
      <c r="G36" s="297">
        <f>IF(テーブル7[[#This Row],[氏　　名]]="","",INDEX($U$31:$U$38,MATCH(E36,$T$31:$T$38,0)))</f>
        <v>1</v>
      </c>
      <c r="H36" s="288"/>
      <c r="I36" s="82"/>
      <c r="J36" s="82"/>
      <c r="K36" s="82"/>
      <c r="L36" s="82"/>
      <c r="M36" s="404"/>
      <c r="N36" s="306" t="str">
        <f t="shared" si="6"/>
        <v/>
      </c>
      <c r="O36" s="407"/>
      <c r="P36" s="183"/>
      <c r="R36" s="47" t="s">
        <v>265</v>
      </c>
      <c r="S36" s="47">
        <v>46033595</v>
      </c>
      <c r="T36" s="47" t="s">
        <v>278</v>
      </c>
      <c r="U36" s="47">
        <v>2</v>
      </c>
      <c r="V36" s="29" t="str">
        <f>R36&amp;2</f>
        <v>鶯谷A2</v>
      </c>
      <c r="X36" s="29">
        <v>0.54004199915784545</v>
      </c>
      <c r="Y36" s="29">
        <v>4.7421076361980008E-2</v>
      </c>
      <c r="Z36" s="29">
        <v>5.3386164414359505E-2</v>
      </c>
      <c r="AA36" s="29">
        <v>0.10671892235031</v>
      </c>
    </row>
    <row r="37" spans="1:27" ht="20.25" customHeight="1">
      <c r="A37" s="217">
        <v>7</v>
      </c>
      <c r="B37" s="222"/>
      <c r="C37" s="181" t="s">
        <v>186</v>
      </c>
      <c r="D37" s="287">
        <f>IF(テーブル7[[#This Row],[氏　　名]]="","",INDEX($S$31:$S$38,MATCH(E37,$T$31:$T$38,0)))</f>
        <v>47034333</v>
      </c>
      <c r="E37" s="85" t="s">
        <v>262</v>
      </c>
      <c r="F37" s="81" t="str">
        <f>IF(テーブル7[[#This Row],[氏　　名]]="","",INDEX($R$31:$R$38,MATCH(E37,$T$31:$T$38,0)))</f>
        <v>大垣日大A</v>
      </c>
      <c r="G37" s="297">
        <f>IF(テーブル7[[#This Row],[氏　　名]]="","",INDEX($U$31:$U$38,MATCH(E37,$T$31:$T$38,0)))</f>
        <v>1</v>
      </c>
      <c r="H37" s="288"/>
      <c r="I37" s="82"/>
      <c r="J37" s="82"/>
      <c r="K37" s="82"/>
      <c r="L37" s="82"/>
      <c r="M37" s="404"/>
      <c r="N37" s="306" t="str">
        <f t="shared" si="6"/>
        <v/>
      </c>
      <c r="O37" s="407"/>
      <c r="P37" s="183"/>
      <c r="R37" s="47" t="s">
        <v>281</v>
      </c>
      <c r="S37" s="47" t="s">
        <v>153</v>
      </c>
      <c r="T37" s="47" t="s">
        <v>279</v>
      </c>
      <c r="U37" s="47">
        <v>1</v>
      </c>
      <c r="V37" s="29" t="str">
        <f t="shared" si="7"/>
        <v>鶯谷B1</v>
      </c>
    </row>
    <row r="38" spans="1:27" ht="20.25" customHeight="1" thickBot="1">
      <c r="A38" s="171">
        <v>8</v>
      </c>
      <c r="B38" s="172" t="e">
        <f>#REF!</f>
        <v>#REF!</v>
      </c>
      <c r="C38" s="182" t="s">
        <v>187</v>
      </c>
      <c r="D38" s="173">
        <f>IF(テーブル7[[#This Row],[氏　　名]]="","",INDEX($S$31:$S$38,MATCH(E38,$T$31:$T$38,0)))</f>
        <v>46033595</v>
      </c>
      <c r="E38" s="174" t="s">
        <v>278</v>
      </c>
      <c r="F38" s="174" t="str">
        <f>IF(テーブル7[[#This Row],[氏　　名]]="","",INDEX($R$31:$R$38,MATCH(E38,$T$31:$T$38,0)))</f>
        <v>鶯谷A</v>
      </c>
      <c r="G38" s="298">
        <f>IF(テーブル7[[#This Row],[氏　　名]]="","",INDEX($U$31:$U$38,MATCH(E38,$T$31:$T$38,0)))</f>
        <v>2</v>
      </c>
      <c r="H38" s="301"/>
      <c r="I38" s="87"/>
      <c r="J38" s="87"/>
      <c r="K38" s="87"/>
      <c r="L38" s="87"/>
      <c r="M38" s="405"/>
      <c r="N38" s="307" t="str">
        <f t="shared" si="6"/>
        <v/>
      </c>
      <c r="O38" s="408" t="str">
        <f>IF(N38="","",RANK(N38,$N$31:$N$38))</f>
        <v/>
      </c>
      <c r="P38" s="175"/>
      <c r="R38" s="47" t="s">
        <v>281</v>
      </c>
      <c r="S38" s="47" t="s">
        <v>153</v>
      </c>
      <c r="T38" s="154" t="s">
        <v>280</v>
      </c>
      <c r="U38" s="47">
        <v>1</v>
      </c>
      <c r="V38" s="29" t="str">
        <f>R38&amp;2</f>
        <v>鶯谷B2</v>
      </c>
    </row>
    <row r="39" spans="1:27" ht="20.25" customHeight="1">
      <c r="B39" s="65"/>
      <c r="K39" s="29"/>
      <c r="L39" s="161"/>
      <c r="M39" s="29"/>
    </row>
    <row r="40" spans="1:27" ht="20.25" customHeight="1">
      <c r="B40" s="65"/>
      <c r="K40" s="29"/>
      <c r="L40" s="161"/>
      <c r="M40" s="29"/>
    </row>
    <row r="41" spans="1:27" ht="20.25" customHeight="1">
      <c r="B41" s="65"/>
      <c r="K41" s="29"/>
      <c r="L41" s="161"/>
      <c r="M41" s="29"/>
    </row>
    <row r="42" spans="1:27" ht="21" customHeight="1">
      <c r="B42" s="65"/>
      <c r="K42" s="29"/>
      <c r="L42" s="161"/>
      <c r="M42" s="29"/>
    </row>
    <row r="43" spans="1:27" ht="21" customHeight="1">
      <c r="K43" s="29"/>
      <c r="L43" s="161"/>
      <c r="M43" s="29"/>
    </row>
    <row r="44" spans="1:27" ht="21" customHeight="1">
      <c r="K44" s="29"/>
      <c r="L44" s="161"/>
      <c r="M44" s="29"/>
    </row>
    <row r="45" spans="1:27" ht="21" customHeight="1">
      <c r="K45" s="29"/>
      <c r="L45" s="161"/>
      <c r="M45" s="29"/>
    </row>
    <row r="46" spans="1:27" ht="21" customHeight="1">
      <c r="K46" s="29"/>
      <c r="L46" s="161"/>
      <c r="M46" s="29"/>
    </row>
    <row r="47" spans="1:27" ht="21" customHeight="1">
      <c r="K47" s="29"/>
      <c r="L47" s="161"/>
      <c r="M47" s="29"/>
    </row>
    <row r="48" spans="1:27" ht="21" customHeight="1">
      <c r="K48" s="29"/>
      <c r="L48" s="161"/>
      <c r="M48" s="29"/>
    </row>
    <row r="49" spans="4:13" ht="21" customHeight="1">
      <c r="K49" s="29"/>
      <c r="L49" s="161"/>
      <c r="M49" s="29"/>
    </row>
    <row r="50" spans="4:13" ht="21" customHeight="1">
      <c r="K50" s="29"/>
      <c r="L50" s="161"/>
      <c r="M50" s="29"/>
    </row>
    <row r="51" spans="4:13" ht="17.25" customHeight="1"/>
    <row r="52" spans="4:13" ht="17.25" customHeight="1">
      <c r="H52" s="460"/>
      <c r="I52" s="460"/>
      <c r="J52" s="460"/>
    </row>
    <row r="53" spans="4:13" ht="17.25" customHeight="1">
      <c r="H53" s="460"/>
      <c r="I53" s="460"/>
      <c r="J53" s="460"/>
    </row>
    <row r="54" spans="4:13" ht="17.25" customHeight="1">
      <c r="H54" s="460"/>
      <c r="I54" s="460"/>
      <c r="J54" s="460"/>
    </row>
    <row r="55" spans="4:13" ht="17.25" customHeight="1">
      <c r="D55" s="43"/>
    </row>
    <row r="56" spans="4:13" ht="17.25" customHeight="1"/>
    <row r="57" spans="4:13" ht="17.25" customHeight="1"/>
    <row r="58" spans="4:13" ht="17.25" customHeight="1"/>
  </sheetData>
  <sortState ref="C31:P38">
    <sortCondition ref="C31:C38"/>
    <sortCondition ref="D31:D38"/>
  </sortState>
  <mergeCells count="4">
    <mergeCell ref="H54:J54"/>
    <mergeCell ref="D1:O3"/>
    <mergeCell ref="H52:J52"/>
    <mergeCell ref="H53:J53"/>
  </mergeCells>
  <phoneticPr fontId="1"/>
  <conditionalFormatting sqref="H13:M29 H31:M38">
    <cfRule type="cellIs" dxfId="142" priority="2" stopIfTrue="1" operator="greaterThan">
      <formula>103.9</formula>
    </cfRule>
  </conditionalFormatting>
  <conditionalFormatting sqref="N13:N28">
    <cfRule type="cellIs" dxfId="141" priority="1" stopIfTrue="1" operator="greaterThan">
      <formula>623.9</formula>
    </cfRule>
  </conditionalFormatting>
  <printOptions horizontalCentered="1"/>
  <pageMargins left="0" right="0" top="0.39370078740157483" bottom="0" header="0" footer="0"/>
  <pageSetup paperSize="9" scale="95" fitToHeight="2" orientation="portrait" r:id="rId1"/>
  <headerFooter alignWithMargins="0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  <pageSetUpPr fitToPage="1"/>
  </sheetPr>
  <dimension ref="A1:J49"/>
  <sheetViews>
    <sheetView view="pageBreakPreview" zoomScaleNormal="100" zoomScaleSheetLayoutView="100" workbookViewId="0">
      <selection activeCell="P9" sqref="P9"/>
    </sheetView>
  </sheetViews>
  <sheetFormatPr defaultColWidth="9" defaultRowHeight="17.399999999999999"/>
  <cols>
    <col min="1" max="1" width="6.88671875" style="29" customWidth="1"/>
    <col min="2" max="2" width="11.77734375" style="29" customWidth="1"/>
    <col min="3" max="3" width="15.33203125" style="29" bestFit="1" customWidth="1"/>
    <col min="4" max="4" width="12.6640625" style="29" bestFit="1" customWidth="1"/>
    <col min="5" max="5" width="15.33203125" style="29" customWidth="1"/>
    <col min="6" max="6" width="11.88671875" style="29" customWidth="1"/>
    <col min="7" max="7" width="15.33203125" style="29" customWidth="1"/>
    <col min="8" max="8" width="11.88671875" style="29" customWidth="1"/>
    <col min="9" max="9" width="11.109375" style="29" customWidth="1"/>
    <col min="10" max="10" width="8.33203125" style="29" customWidth="1"/>
    <col min="11" max="11" width="6.33203125" style="29" customWidth="1"/>
    <col min="12" max="16384" width="9" style="29"/>
  </cols>
  <sheetData>
    <row r="1" spans="1:10" ht="26.25" customHeight="1" thickBot="1">
      <c r="B1" s="30" t="s">
        <v>317</v>
      </c>
      <c r="C1" s="30"/>
      <c r="D1" s="48">
        <v>45955</v>
      </c>
      <c r="E1" s="49">
        <f>WEEKDAY(D1)</f>
        <v>7</v>
      </c>
      <c r="F1" s="30" t="s">
        <v>318</v>
      </c>
      <c r="G1" s="30"/>
      <c r="H1" s="32"/>
      <c r="I1" s="32"/>
      <c r="J1" s="32"/>
    </row>
    <row r="2" spans="1:10" ht="24" customHeight="1" thickBot="1">
      <c r="A2" s="325" t="s">
        <v>141</v>
      </c>
      <c r="B2" s="58" t="s">
        <v>6</v>
      </c>
      <c r="C2" s="395" t="s">
        <v>1</v>
      </c>
      <c r="D2" s="396" t="s">
        <v>7</v>
      </c>
      <c r="E2" s="396" t="s">
        <v>189</v>
      </c>
      <c r="F2" s="396" t="s">
        <v>190</v>
      </c>
      <c r="G2" s="396" t="s">
        <v>191</v>
      </c>
      <c r="H2" s="397" t="s">
        <v>192</v>
      </c>
      <c r="I2" s="326" t="s">
        <v>5</v>
      </c>
      <c r="J2" s="50" t="s">
        <v>4</v>
      </c>
    </row>
    <row r="3" spans="1:10" ht="24" customHeight="1" thickBot="1">
      <c r="A3" s="443">
        <v>1</v>
      </c>
      <c r="B3" s="446" t="s">
        <v>160</v>
      </c>
      <c r="C3" s="445" t="str">
        <f>INDEX(AR予選!$S$14:$S$20,MATCH(テーブル11[[#This Row],[チーム名]]&amp;1,AR予選!$U$14:$U$20,0))</f>
        <v>澤村　魁里</v>
      </c>
      <c r="D3" s="327" t="str">
        <f>INDEX(テーブル2[合　計],MATCH(テーブル11[[#This Row],[氏　　名]],テーブル2[氏　　名],0))</f>
        <v/>
      </c>
      <c r="E3" s="327" t="str">
        <f>INDEX(AR予選!$S$14:$S$20,MATCH(テーブル11[[#This Row],[チーム名]]&amp;2,AR予選!$U$14:$U$20,0))</f>
        <v>金森　陸</v>
      </c>
      <c r="F3" s="327" t="str">
        <f>INDEX(テーブル2[合　計],MATCH(テーブル11[[#This Row],[氏　　名2]],テーブル2[氏　　名],0))</f>
        <v/>
      </c>
      <c r="G3" s="327" t="str">
        <f>INDEX(AR予選!$S$14:$S$20,MATCH(テーブル11[[#This Row],[チーム名]]&amp;3,AR予選!$U$14:$U$20,0))</f>
        <v>後藤　慎吾</v>
      </c>
      <c r="H3" s="92" t="str">
        <f>INDEX(テーブル2[合　計],MATCH(テーブル11[[#This Row],[氏　　名3]],テーブル2[氏　　名],0))</f>
        <v/>
      </c>
      <c r="I3" s="129" t="str">
        <f>IF(テーブル11[[#This Row],[得　点]]="","",テーブル11[[#This Row],[得　点]]+テーブル11[[#This Row],[得　点2]]+テーブル11[[#This Row],[得　点3]])</f>
        <v/>
      </c>
      <c r="J3" s="183" t="str">
        <f>IF(テーブル11[[#This Row],[合計点]]="","",_xlfn.RANK.EQ(テーブル11[[#This Row],[合計点]],テーブル11[合計点],0))</f>
        <v/>
      </c>
    </row>
    <row r="4" spans="1:10" ht="19.8" thickBot="1">
      <c r="A4" s="329">
        <v>2</v>
      </c>
      <c r="B4" s="447" t="s">
        <v>221</v>
      </c>
      <c r="C4" s="253" t="str">
        <f>INDEX(AR予選!$S$14:$S$20,MATCH(テーブル11[[#This Row],[チーム名]]&amp;1,AR予選!$U$14:$U$20,0))</f>
        <v>加藤凜</v>
      </c>
      <c r="D4" s="444" t="str">
        <f>INDEX(テーブル2[合　計],MATCH(テーブル11[[#This Row],[氏　　名]],テーブル2[氏　　名],0))</f>
        <v/>
      </c>
      <c r="E4" s="444" t="str">
        <f>INDEX(AR予選!$S$14:$S$20,MATCH(テーブル11[[#This Row],[チーム名]]&amp;2,AR予選!$U$14:$U$20,0))</f>
        <v>田邉陸玖</v>
      </c>
      <c r="F4" s="444" t="str">
        <f>INDEX(テーブル2[合　計],MATCH(テーブル11[[#This Row],[氏　　名2]],テーブル2[氏　　名],0))</f>
        <v/>
      </c>
      <c r="G4" s="444" t="str">
        <f>INDEX(AR予選!$S$14:$S$20,MATCH(テーブル11[[#This Row],[チーム名]]&amp;3,AR予選!$U$14:$U$20,0))</f>
        <v>福田隆人</v>
      </c>
      <c r="H4" s="111" t="str">
        <f>INDEX(テーブル2[合　計],MATCH(テーブル11[[#This Row],[氏　　名3]],テーブル2[氏　　名],0))</f>
        <v/>
      </c>
      <c r="I4" s="328" t="str">
        <f>IF(テーブル11[[#This Row],[得　点]]="","",テーブル11[[#This Row],[得　点]]+テーブル11[[#This Row],[得　点2]]+テーブル11[[#This Row],[得　点3]])</f>
        <v/>
      </c>
      <c r="J4" s="184" t="str">
        <f>IF(テーブル11[[#This Row],[合計点]]="","",_xlfn.RANK.EQ(テーブル11[[#This Row],[合計点]],テーブル11[合計点],0))</f>
        <v/>
      </c>
    </row>
    <row r="5" spans="1:10" ht="24.75" customHeight="1"/>
    <row r="6" spans="1:10" ht="26.25" customHeight="1" thickBot="1">
      <c r="B6" s="30" t="s">
        <v>319</v>
      </c>
      <c r="C6" s="30"/>
      <c r="D6" s="48">
        <v>45955</v>
      </c>
      <c r="E6" s="49">
        <f>WEEKDAY(D6)</f>
        <v>7</v>
      </c>
      <c r="F6" s="30" t="s">
        <v>318</v>
      </c>
      <c r="G6" s="30"/>
      <c r="H6" s="32"/>
      <c r="I6" s="32"/>
      <c r="J6" s="32"/>
    </row>
    <row r="7" spans="1:10" ht="24" customHeight="1" thickBot="1">
      <c r="A7" s="325" t="s">
        <v>141</v>
      </c>
      <c r="B7" s="50" t="s">
        <v>6</v>
      </c>
      <c r="C7" s="245" t="s">
        <v>1</v>
      </c>
      <c r="D7" s="246" t="s">
        <v>7</v>
      </c>
      <c r="E7" s="246" t="s">
        <v>189</v>
      </c>
      <c r="F7" s="246" t="s">
        <v>190</v>
      </c>
      <c r="G7" s="246" t="s">
        <v>191</v>
      </c>
      <c r="H7" s="247" t="s">
        <v>192</v>
      </c>
      <c r="I7" s="326" t="s">
        <v>5</v>
      </c>
      <c r="J7" s="50" t="s">
        <v>4</v>
      </c>
    </row>
    <row r="8" spans="1:10" ht="19.2">
      <c r="A8" s="329">
        <v>1</v>
      </c>
      <c r="B8" s="330" t="s">
        <v>160</v>
      </c>
      <c r="C8" s="322" t="str">
        <f>INDEX(AR予選!$S$26:$S$30,MATCH(テーブル1114[[#This Row],[チーム名]]&amp;1,AR予選!$U$26:$U$30,0))</f>
        <v>浅野　海空</v>
      </c>
      <c r="D8" s="327" t="str">
        <f>INDEX(テーブル1[合　計],MATCH(テーブル1114[[#This Row],[氏　　名]],テーブル1[氏　　名],0))</f>
        <v/>
      </c>
      <c r="E8" s="327" t="str">
        <f>INDEX(AR予選!$S$26:$S$30,MATCH(テーブル1114[[#This Row],[チーム名]]&amp;2,AR予選!$U$26:$U$30,0))</f>
        <v>三浦　柚希</v>
      </c>
      <c r="F8" s="327" t="str">
        <f>INDEX(テーブル1[合　計],MATCH(テーブル1114[[#This Row],[氏　　名2]],テーブル1[氏　　名],0))</f>
        <v/>
      </c>
      <c r="G8" s="327" t="str">
        <f>INDEX(AR予選!$S$26:$S$30,MATCH(テーブル1114[[#This Row],[チーム名]]&amp;3,AR予選!$U$26:$U$30,0))</f>
        <v>藤田　千愛</v>
      </c>
      <c r="H8" s="92" t="str">
        <f>INDEX(テーブル1[合　計],MATCH(テーブル1114[[#This Row],[氏　　名3]],テーブル1[氏　　名],0))</f>
        <v/>
      </c>
      <c r="I8" s="170" t="str">
        <f>IF(テーブル1114[[#This Row],[得　点]]="","",テーブル1114[[#This Row],[得　点]]+テーブル1114[[#This Row],[得　点2]]+テーブル1114[[#This Row],[得　点3]])</f>
        <v/>
      </c>
      <c r="J8" s="184" t="str">
        <f>IF(テーブル1114[[#This Row],[合計点]]="","",_xlfn.RANK.EQ(テーブル1114[[#This Row],[合計点]],テーブル1114[合計点],0))</f>
        <v/>
      </c>
    </row>
    <row r="9" spans="1:10" ht="24.75" customHeight="1"/>
    <row r="10" spans="1:10" ht="26.25" customHeight="1" thickBot="1">
      <c r="B10" s="30" t="s">
        <v>320</v>
      </c>
      <c r="C10" s="30"/>
      <c r="D10" s="48">
        <v>45955</v>
      </c>
      <c r="E10" s="49">
        <f>WEEKDAY(D10)</f>
        <v>7</v>
      </c>
      <c r="F10" s="30" t="s">
        <v>318</v>
      </c>
      <c r="G10" s="30"/>
      <c r="H10" s="32"/>
      <c r="I10" s="32"/>
      <c r="J10" s="32"/>
    </row>
    <row r="11" spans="1:10" ht="24" customHeight="1" thickBot="1">
      <c r="A11" s="245" t="s">
        <v>141</v>
      </c>
      <c r="B11" s="258" t="s">
        <v>6</v>
      </c>
      <c r="C11" s="245" t="s">
        <v>1</v>
      </c>
      <c r="D11" s="246" t="s">
        <v>7</v>
      </c>
      <c r="E11" s="246" t="s">
        <v>189</v>
      </c>
      <c r="F11" s="246" t="s">
        <v>190</v>
      </c>
      <c r="G11" s="246" t="s">
        <v>191</v>
      </c>
      <c r="H11" s="247" t="s">
        <v>192</v>
      </c>
      <c r="I11" s="326" t="s">
        <v>5</v>
      </c>
      <c r="J11" s="50" t="s">
        <v>4</v>
      </c>
    </row>
    <row r="12" spans="1:10" ht="19.2">
      <c r="A12" s="193">
        <v>1</v>
      </c>
      <c r="B12" s="331" t="s">
        <v>148</v>
      </c>
      <c r="C12" s="333" t="s">
        <v>224</v>
      </c>
      <c r="D12" s="332" t="str">
        <f>'AP予選 '!M13</f>
        <v/>
      </c>
      <c r="E12" s="333" t="s">
        <v>236</v>
      </c>
      <c r="F12" s="332" t="str">
        <f>'AP予選 '!M14</f>
        <v/>
      </c>
      <c r="G12" s="334"/>
      <c r="H12" s="335"/>
      <c r="I12" s="328" t="str">
        <f>IF(テーブル1115[[#This Row],[得　点]]="","",テーブル1115[[#This Row],[得　点]]+テーブル1115[[#This Row],[得　点2]])</f>
        <v/>
      </c>
      <c r="J12" s="184"/>
    </row>
    <row r="13" spans="1:10" ht="24.75" customHeight="1">
      <c r="D13" s="399"/>
      <c r="E13" s="400"/>
    </row>
    <row r="14" spans="1:10" ht="24.75" customHeight="1"/>
    <row r="15" spans="1:10" ht="26.25" customHeight="1" thickBot="1">
      <c r="B15" s="30" t="s">
        <v>35</v>
      </c>
      <c r="C15" s="30"/>
      <c r="D15" s="48">
        <v>45956</v>
      </c>
      <c r="E15" s="49">
        <f>WEEKDAY(D15)</f>
        <v>1</v>
      </c>
      <c r="F15" s="30" t="str">
        <f>[1]BR予選!E5</f>
        <v>済美高等学校射撃場</v>
      </c>
      <c r="G15" s="30"/>
      <c r="H15" s="32"/>
      <c r="I15" s="32"/>
      <c r="J15" s="32"/>
    </row>
    <row r="16" spans="1:10" ht="24" customHeight="1" thickBot="1">
      <c r="A16" s="58" t="s">
        <v>141</v>
      </c>
      <c r="B16" s="336" t="s">
        <v>6</v>
      </c>
      <c r="C16" s="359" t="s">
        <v>1</v>
      </c>
      <c r="D16" s="360" t="s">
        <v>7</v>
      </c>
      <c r="E16" s="360" t="s">
        <v>189</v>
      </c>
      <c r="F16" s="360" t="s">
        <v>190</v>
      </c>
      <c r="G16" s="360" t="s">
        <v>191</v>
      </c>
      <c r="H16" s="383" t="s">
        <v>192</v>
      </c>
      <c r="I16" s="337" t="s">
        <v>5</v>
      </c>
      <c r="J16" s="338" t="s">
        <v>4</v>
      </c>
    </row>
    <row r="17" spans="1:10" ht="24.75" customHeight="1">
      <c r="A17" s="168">
        <v>1</v>
      </c>
      <c r="B17" s="339" t="s">
        <v>221</v>
      </c>
      <c r="C17" s="384" t="str">
        <f>INDEX(BR予選!$R$13:$R$34,MATCH(テーブル413[[#This Row],[チーム名]]&amp;1,BR予選!$T$13:$T$34,0))</f>
        <v>加藤凜</v>
      </c>
      <c r="D17" s="352" t="str">
        <f>INDEX(テーブル3[合　計],MATCH(テーブル413[[#This Row],[氏　　名]],テーブル3[氏　　名],0))</f>
        <v/>
      </c>
      <c r="E17" s="385" t="str">
        <f>INDEX(BR予選!$R$13:$R$34,MATCH(テーブル413[[#This Row],[チーム名]]&amp;2,BR予選!$T$13:$T$34,0))</f>
        <v>田邉陸玖</v>
      </c>
      <c r="F17" s="352" t="str">
        <f>INDEX(テーブル3[合　計],MATCH(テーブル413[[#This Row],[氏　　名2]],テーブル3[氏　　名],0))</f>
        <v/>
      </c>
      <c r="G17" s="385" t="str">
        <f>INDEX(BR予選!$R$13:$R$34,MATCH(テーブル413[[#This Row],[チーム名]]&amp;3,BR予選!$T$13:$T$34,0))</f>
        <v>福田隆人</v>
      </c>
      <c r="H17" s="342" t="str">
        <f>INDEX(テーブル3[合　計],MATCH(テーブル413[[#This Row],[氏　　名3]],テーブル3[氏　　名],0))</f>
        <v/>
      </c>
      <c r="I17" s="381" t="str">
        <f>IF(テーブル413[[#This Row],[得　点]]="","",テーブル413[[#This Row],[得　点]]+テーブル413[[#This Row],[得　点2]]+テーブル413[[#This Row],[得　点3]])</f>
        <v/>
      </c>
      <c r="J17" s="343" t="str">
        <f>IF(I17="","",RANK(I17,$I$17:$I$21))</f>
        <v/>
      </c>
    </row>
    <row r="18" spans="1:10" ht="24.75" customHeight="1">
      <c r="A18" s="217">
        <v>2</v>
      </c>
      <c r="B18" s="344" t="s">
        <v>242</v>
      </c>
      <c r="C18" s="355" t="str">
        <f>INDEX(BR予選!$R$13:$R$34,MATCH(テーブル413[[#This Row],[チーム名]]&amp;1,BR予選!$T$13:$T$34,0))</f>
        <v>富松利信</v>
      </c>
      <c r="D18" s="341" t="str">
        <f>INDEX(テーブル3[合　計],MATCH(テーブル413[[#This Row],[氏　　名]],テーブル3[氏　　名],0))</f>
        <v/>
      </c>
      <c r="E18" s="340" t="str">
        <f>INDEX(BR予選!$R$13:$R$34,MATCH(テーブル413[[#This Row],[チーム名]]&amp;2,BR予選!$T$13:$T$34,0))</f>
        <v>井口蒼太</v>
      </c>
      <c r="F18" s="341" t="str">
        <f>INDEX(テーブル3[合　計],MATCH(テーブル413[[#This Row],[氏　　名2]],テーブル3[氏　　名],0))</f>
        <v/>
      </c>
      <c r="G18" s="340" t="str">
        <f>INDEX(BR予選!$R$13:$R$34,MATCH(テーブル413[[#This Row],[チーム名]]&amp;3,BR予選!$T$13:$T$34,0))</f>
        <v>足立蓮次</v>
      </c>
      <c r="H18" s="386" t="str">
        <f>INDEX(テーブル3[合　計],MATCH(テーブル413[[#This Row],[氏　　名3]],テーブル3[氏　　名],0))</f>
        <v/>
      </c>
      <c r="I18" s="382" t="str">
        <f>IF(テーブル413[[#This Row],[得　点]]="","",テーブル413[[#This Row],[得　点]]+テーブル413[[#This Row],[得　点2]]+テーブル413[[#This Row],[得　点3]])</f>
        <v/>
      </c>
      <c r="J18" s="345" t="str">
        <f>IF(I18="","",RANK(I18,$I$17:$I$21))</f>
        <v/>
      </c>
    </row>
    <row r="19" spans="1:10" ht="24.75" customHeight="1">
      <c r="A19" s="217">
        <v>3</v>
      </c>
      <c r="B19" s="344" t="s">
        <v>160</v>
      </c>
      <c r="C19" s="355" t="str">
        <f>INDEX(BR予選!$R$13:$R$34,MATCH(テーブル413[[#This Row],[チーム名]]&amp;1,BR予選!$T$13:$T$34,0))</f>
        <v>澤村　魁里</v>
      </c>
      <c r="D19" s="341" t="str">
        <f>INDEX(テーブル3[合　計],MATCH(テーブル413[[#This Row],[氏　　名]],テーブル3[氏　　名],0))</f>
        <v/>
      </c>
      <c r="E19" s="340" t="str">
        <f>INDEX(BR予選!$R$13:$R$34,MATCH(テーブル413[[#This Row],[チーム名]]&amp;2,BR予選!$T$13:$T$34,0))</f>
        <v>金森　陸</v>
      </c>
      <c r="F19" s="341" t="str">
        <f>INDEX(テーブル3[合　計],MATCH(テーブル413[[#This Row],[氏　　名2]],テーブル3[氏　　名],0))</f>
        <v/>
      </c>
      <c r="G19" s="340" t="str">
        <f>INDEX(BR予選!$R$13:$R$34,MATCH(テーブル413[[#This Row],[チーム名]]&amp;3,BR予選!$T$13:$T$34,0))</f>
        <v>後藤　慎吾</v>
      </c>
      <c r="H19" s="386" t="str">
        <f>INDEX(テーブル3[合　計],MATCH(テーブル413[[#This Row],[氏　　名3]],テーブル3[氏　　名],0))</f>
        <v/>
      </c>
      <c r="I19" s="382" t="str">
        <f>IF(テーブル413[[#This Row],[得　点]]="","",テーブル413[[#This Row],[得　点]]+テーブル413[[#This Row],[得　点2]]+テーブル413[[#This Row],[得　点3]])</f>
        <v/>
      </c>
      <c r="J19" s="345" t="str">
        <f>IF(I19="","",RANK(I19,$I$17:$I$21))</f>
        <v/>
      </c>
    </row>
    <row r="20" spans="1:10" ht="24.75" customHeight="1">
      <c r="A20" s="217">
        <v>4</v>
      </c>
      <c r="B20" s="344" t="s">
        <v>283</v>
      </c>
      <c r="C20" s="355" t="str">
        <f>INDEX(BR予選!$R$13:$R$34,MATCH(テーブル413[[#This Row],[チーム名]]&amp;1,BR予選!$T$13:$T$34,0))</f>
        <v>武藤　弘歩</v>
      </c>
      <c r="D20" s="341" t="str">
        <f>INDEX(テーブル3[合　計],MATCH(テーブル413[[#This Row],[氏　　名]],テーブル3[氏　　名],0))</f>
        <v/>
      </c>
      <c r="E20" s="340" t="str">
        <f>INDEX(BR予選!$R$13:$R$34,MATCH(テーブル413[[#This Row],[チーム名]]&amp;2,BR予選!$T$13:$T$34,0))</f>
        <v>春日井　月暉</v>
      </c>
      <c r="F20" s="341" t="str">
        <f>INDEX(テーブル3[合　計],MATCH(テーブル413[[#This Row],[氏　　名2]],テーブル3[氏　　名],0))</f>
        <v/>
      </c>
      <c r="G20" s="340" t="str">
        <f>INDEX(BR予選!$R$13:$R$34,MATCH(テーブル413[[#This Row],[チーム名]]&amp;3,BR予選!$T$13:$T$34,0))</f>
        <v>永澤　京誠</v>
      </c>
      <c r="H20" s="386" t="str">
        <f>INDEX(テーブル3[合　計],MATCH(テーブル413[[#This Row],[氏　　名3]],テーブル3[氏　　名],0))</f>
        <v/>
      </c>
      <c r="I20" s="382" t="str">
        <f>IF(テーブル413[[#This Row],[得　点]]="","",テーブル413[[#This Row],[得　点]]+テーブル413[[#This Row],[得　点2]]+テーブル413[[#This Row],[得　点3]])</f>
        <v/>
      </c>
      <c r="J20" s="345" t="str">
        <f>IF(I20="","",RANK(I20,$I$17:$I$21))</f>
        <v/>
      </c>
    </row>
    <row r="21" spans="1:10" ht="24.75" customHeight="1" thickBot="1">
      <c r="A21" s="217">
        <v>5</v>
      </c>
      <c r="B21" s="344" t="s">
        <v>173</v>
      </c>
      <c r="C21" s="387" t="str">
        <f>INDEX(BR予選!$R$13:$R$34,MATCH(テーブル413[[#This Row],[チーム名]]&amp;1,BR予選!$T$13:$T$34,0))</f>
        <v>松本　峻介</v>
      </c>
      <c r="D21" s="388" t="str">
        <f>INDEX(テーブル3[合　計],MATCH(テーブル413[[#This Row],[氏　　名]],テーブル3[氏　　名],0))</f>
        <v/>
      </c>
      <c r="E21" s="389" t="str">
        <f>INDEX(BR予選!$R$13:$R$34,MATCH(テーブル413[[#This Row],[チーム名]]&amp;2,BR予選!$T$13:$T$34,0))</f>
        <v>森　大喜</v>
      </c>
      <c r="F21" s="388" t="str">
        <f>INDEX(テーブル3[合　計],MATCH(テーブル413[[#This Row],[氏　　名2]],テーブル3[氏　　名],0))</f>
        <v/>
      </c>
      <c r="G21" s="389" t="str">
        <f>INDEX(BR予選!$R$13:$R$34,MATCH(テーブル413[[#This Row],[チーム名]]&amp;3,BR予選!$T$13:$T$34,0))</f>
        <v>狩野　佑斗</v>
      </c>
      <c r="H21" s="390" t="str">
        <f>INDEX(テーブル3[合　計],MATCH(テーブル413[[#This Row],[氏　　名3]],テーブル3[氏　　名],0))</f>
        <v/>
      </c>
      <c r="I21" s="382" t="str">
        <f>IF(テーブル413[[#This Row],[得　点]]="","",テーブル413[[#This Row],[得　点]]+テーブル413[[#This Row],[得　点2]]+テーブル413[[#This Row],[得　点3]])</f>
        <v/>
      </c>
      <c r="J21" s="345" t="str">
        <f>IF(I21="","",RANK(I21,$I$17:$I$21))</f>
        <v/>
      </c>
    </row>
    <row r="22" spans="1:10" ht="24.75" customHeight="1">
      <c r="B22" s="53"/>
      <c r="C22" s="53"/>
      <c r="D22" s="52"/>
      <c r="E22" s="53"/>
      <c r="F22" s="52"/>
      <c r="G22" s="53"/>
      <c r="H22" s="52"/>
      <c r="I22" s="52"/>
      <c r="J22" s="54"/>
    </row>
    <row r="23" spans="1:10" ht="24.75" customHeight="1">
      <c r="B23" s="53"/>
      <c r="C23" s="53"/>
      <c r="D23" s="52"/>
      <c r="E23" s="53"/>
      <c r="F23" s="52"/>
      <c r="G23" s="53"/>
      <c r="H23" s="52"/>
      <c r="I23" s="52"/>
      <c r="J23" s="54"/>
    </row>
    <row r="24" spans="1:10" ht="24.75" customHeight="1" thickBot="1">
      <c r="B24" s="55" t="s">
        <v>36</v>
      </c>
      <c r="C24" s="55"/>
      <c r="D24" s="48">
        <f>D15</f>
        <v>45956</v>
      </c>
      <c r="E24" s="49">
        <f>WEEKDAY(D24)</f>
        <v>1</v>
      </c>
      <c r="F24" s="55" t="str">
        <f>[1]BR予選!E5</f>
        <v>済美高等学校射撃場</v>
      </c>
      <c r="G24" s="55"/>
      <c r="H24" s="59"/>
      <c r="I24" s="59"/>
    </row>
    <row r="25" spans="1:10" ht="24" customHeight="1" thickBot="1">
      <c r="A25" s="218" t="s">
        <v>141</v>
      </c>
      <c r="B25" s="257" t="s">
        <v>6</v>
      </c>
      <c r="C25" s="395" t="s">
        <v>1</v>
      </c>
      <c r="D25" s="396" t="s">
        <v>7</v>
      </c>
      <c r="E25" s="396" t="s">
        <v>189</v>
      </c>
      <c r="F25" s="396" t="s">
        <v>190</v>
      </c>
      <c r="G25" s="396" t="s">
        <v>191</v>
      </c>
      <c r="H25" s="397" t="s">
        <v>192</v>
      </c>
      <c r="I25" s="394" t="s">
        <v>5</v>
      </c>
      <c r="J25" s="75" t="s">
        <v>4</v>
      </c>
    </row>
    <row r="26" spans="1:10" ht="24.75" customHeight="1">
      <c r="A26" s="348">
        <v>1</v>
      </c>
      <c r="B26" s="248" t="s">
        <v>155</v>
      </c>
      <c r="C26" s="355" t="str">
        <f>INDEX(BR予選!$R$38:$R$51,MATCH(テーブル814[[#This Row],[チーム名]]&amp;1,BR予選!$T$38:$T$51,0))</f>
        <v>角　　律希</v>
      </c>
      <c r="D26" s="350" t="str">
        <f>INDEX(テーブル5[合　計],MATCH(テーブル814[[#This Row],[氏　　名]],テーブル5[氏　　名],0))</f>
        <v/>
      </c>
      <c r="E26" s="340" t="str">
        <f>INDEX(BR予選!$R$38:$R$51,MATCH(テーブル814[[#This Row],[チーム名]]&amp;2,BR予選!$T$38:$T$51,0))</f>
        <v>山田　千結</v>
      </c>
      <c r="F26" s="350" t="str">
        <f>INDEX(テーブル5[合　計],MATCH(テーブル814[[#This Row],[氏　　名2]],テーブル5[氏　　名],0))</f>
        <v/>
      </c>
      <c r="G26" s="340" t="str">
        <f>INDEX(BR予選!$R$38:$R$51,MATCH(テーブル814[[#This Row],[チーム名]]&amp;3,BR予選!$T$38:$T$51,0))</f>
        <v>関　　希</v>
      </c>
      <c r="H26" s="386" t="str">
        <f>INDEX(テーブル5[合　計],MATCH(テーブル814[[#This Row],[氏　　名3]],テーブル5[氏　　名],0))</f>
        <v/>
      </c>
      <c r="I26" s="391" t="str">
        <f>IF(テーブル814[[#This Row],[得　点]]="","",テーブル814[[#This Row],[得　点]]+テーブル814[[#This Row],[得　点2]]+テーブル814[[#This Row],[得　点3]])</f>
        <v/>
      </c>
      <c r="J26" s="353" t="str">
        <f>IF(I26="","",RANK(I26,テーブル814[合計点],0))</f>
        <v/>
      </c>
    </row>
    <row r="27" spans="1:10" ht="24.75" customHeight="1">
      <c r="A27" s="354">
        <v>2</v>
      </c>
      <c r="B27" s="249" t="s">
        <v>158</v>
      </c>
      <c r="C27" s="357" t="str">
        <f>INDEX([1]BR予選!$R$41:$R$55,MATCH(テーブル814[[#This Row],[チーム名]]&amp;1,[1]BR予選!$T$41:$T$55,0))</f>
        <v>浅野　海空</v>
      </c>
      <c r="D27" s="350" t="str">
        <f>INDEX(テーブル5[合　計],MATCH(テーブル814[[#This Row],[氏　　名]],テーブル5[氏　　名],0))</f>
        <v/>
      </c>
      <c r="E27" s="340" t="str">
        <f>INDEX(BR予選!$R$38:$R$51,MATCH(テーブル814[[#This Row],[チーム名]]&amp;2,BR予選!$T$38:$T$51,0))</f>
        <v>三浦　柚希</v>
      </c>
      <c r="F27" s="350" t="str">
        <f>INDEX(テーブル5[合　計],MATCH(テーブル814[[#This Row],[氏　　名2]],テーブル5[氏　　名],0))</f>
        <v/>
      </c>
      <c r="G27" s="340" t="str">
        <f>INDEX(BR予選!$R$38:$R$51,MATCH(テーブル814[[#This Row],[チーム名]]&amp;3,BR予選!$T$38:$T$51,0))</f>
        <v>藤田　千愛</v>
      </c>
      <c r="H27" s="386" t="str">
        <f>INDEX(テーブル5[合　計],MATCH(テーブル814[[#This Row],[氏　　名3]],テーブル5[氏　　名],0))</f>
        <v/>
      </c>
      <c r="I27" s="391" t="str">
        <f>IF(テーブル814[[#This Row],[得　点]]="","",テーブル814[[#This Row],[得　点]]+テーブル814[[#This Row],[得　点2]]+テーブル814[[#This Row],[得　点3]])</f>
        <v/>
      </c>
      <c r="J27" s="356" t="str">
        <f>IF(I27="","",RANK(I27,テーブル814[合計点],0))</f>
        <v/>
      </c>
    </row>
    <row r="28" spans="1:10" ht="24.75" customHeight="1" thickBot="1">
      <c r="A28" s="354">
        <v>3</v>
      </c>
      <c r="B28" s="393" t="s">
        <v>265</v>
      </c>
      <c r="C28" s="374" t="str">
        <f>INDEX([1]BR予選!$R$41:$R$55,MATCH(テーブル814[[#This Row],[チーム名]]&amp;1,[1]BR予選!$T$41:$T$55,0))</f>
        <v>木戸脇　亜依</v>
      </c>
      <c r="D28" s="398" t="str">
        <f>INDEX(テーブル5[合　計],MATCH(テーブル814[[#This Row],[氏　　名]],テーブル5[氏　　名],0))</f>
        <v/>
      </c>
      <c r="E28" s="389" t="str">
        <f>INDEX(BR予選!$R$38:$R$51,MATCH(テーブル814[[#This Row],[チーム名]]&amp;2,BR予選!$T$38:$T$51,0))</f>
        <v>三宅　鈴音</v>
      </c>
      <c r="F28" s="398" t="str">
        <f>INDEX(テーブル5[合　計],MATCH(テーブル814[[#This Row],[氏　　名2]],テーブル5[氏　　名],0))</f>
        <v/>
      </c>
      <c r="G28" s="340" t="str">
        <f>INDEX(BR予選!$R$38:$R$51,MATCH(テーブル814[[#This Row],[チーム名]]&amp;3,BR予選!$T$38:$T$51,0))</f>
        <v>中村　由弥</v>
      </c>
      <c r="H28" s="390" t="str">
        <f>INDEX(テーブル5[合　計],MATCH(テーブル814[[#This Row],[氏　　名3]],テーブル5[氏　　名],0))</f>
        <v/>
      </c>
      <c r="I28" s="392" t="str">
        <f>IF(テーブル814[[#This Row],[得　点]]="","",テーブル814[[#This Row],[得　点]]+テーブル814[[#This Row],[得　点2]]+テーブル814[[#This Row],[得　点3]])</f>
        <v/>
      </c>
      <c r="J28" s="337" t="str">
        <f>IF(I28="","",RANK(I28,テーブル814[合計点],0))</f>
        <v/>
      </c>
    </row>
    <row r="29" spans="1:10" ht="24.75" customHeight="1">
      <c r="B29" s="53"/>
      <c r="C29" s="53"/>
      <c r="D29" s="52"/>
      <c r="E29" s="53"/>
      <c r="F29" s="52"/>
      <c r="G29" s="53"/>
      <c r="H29" s="52"/>
      <c r="I29" s="52"/>
      <c r="J29" s="54"/>
    </row>
    <row r="30" spans="1:10" ht="24" customHeight="1" thickBot="1">
      <c r="B30" s="55" t="s">
        <v>83</v>
      </c>
      <c r="C30" s="55"/>
      <c r="D30" s="48">
        <f>D24</f>
        <v>45956</v>
      </c>
      <c r="E30" s="49">
        <f>WEEKDAY(D30)</f>
        <v>1</v>
      </c>
      <c r="F30" s="55" t="str">
        <f>F24</f>
        <v>済美高等学校射撃場</v>
      </c>
      <c r="G30" s="55"/>
      <c r="H30" s="59"/>
      <c r="I30" s="61"/>
    </row>
    <row r="31" spans="1:10" ht="24.75" customHeight="1" thickBot="1">
      <c r="A31" s="358" t="s">
        <v>141</v>
      </c>
      <c r="B31" s="347" t="s">
        <v>6</v>
      </c>
      <c r="C31" s="359" t="s">
        <v>1</v>
      </c>
      <c r="D31" s="360" t="s">
        <v>7</v>
      </c>
      <c r="E31" s="360" t="s">
        <v>189</v>
      </c>
      <c r="F31" s="360" t="s">
        <v>190</v>
      </c>
      <c r="G31" s="360" t="s">
        <v>191</v>
      </c>
      <c r="H31" s="361" t="s">
        <v>192</v>
      </c>
      <c r="I31" s="58" t="s">
        <v>5</v>
      </c>
      <c r="J31" s="58" t="s">
        <v>4</v>
      </c>
    </row>
    <row r="32" spans="1:10" ht="24.75" customHeight="1">
      <c r="A32" s="348">
        <v>1</v>
      </c>
      <c r="B32" s="368" t="s">
        <v>148</v>
      </c>
      <c r="C32" s="349" t="str">
        <f>INDEX(BP予選!$T$13:$T$27,MATCH(テーブル915[[#This Row],[チーム名]]&amp;1,BP予選!$V$13:$V$27,0))</f>
        <v>山下元喜</v>
      </c>
      <c r="D32" s="362" t="str">
        <f>INDEX(テーブル6[合　計],MATCH(テーブル915[[#This Row],[氏　　名]],テーブル6[氏　　名],0))</f>
        <v/>
      </c>
      <c r="E32" s="351" t="str">
        <f>INDEX(BP予選!$T$13:$T$27,MATCH(テーブル915[[#This Row],[チーム名]]&amp;2,BP予選!$V$13:$V$27,0))</f>
        <v>徳田恭実</v>
      </c>
      <c r="F32" s="362" t="str">
        <f>INDEX(テーブル6[合　計],MATCH(テーブル915[[#This Row],[氏　　名2]],テーブル6[氏　　名],0))</f>
        <v/>
      </c>
      <c r="G32" s="363"/>
      <c r="H32" s="364"/>
      <c r="I32" s="365" t="str">
        <f>IF(テーブル915[[#This Row],[得　点]]="","",テーブル915[[#This Row],[得　点]]+テーブル915[[#This Row],[得　点2]])</f>
        <v/>
      </c>
      <c r="J32" s="366" t="str">
        <f>IF(I32="","",RANK(I32,テーブル915[合計点],0))</f>
        <v/>
      </c>
    </row>
    <row r="33" spans="1:10" ht="24.75" customHeight="1">
      <c r="A33" s="367">
        <v>2</v>
      </c>
      <c r="B33" s="368" t="s">
        <v>167</v>
      </c>
      <c r="C33" s="357" t="str">
        <f>INDEX(BP予選!$T$13:$T$27,MATCH(テーブル915[[#This Row],[チーム名]]&amp;1,BP予選!$V$13:$V$27,0))</f>
        <v>伊東　淳彦</v>
      </c>
      <c r="D33" s="369" t="str">
        <f>INDEX(テーブル6[合　計],MATCH(テーブル915[[#This Row],[氏　　名]],テーブル6[氏　　名],0))</f>
        <v/>
      </c>
      <c r="E33" s="346" t="str">
        <f>INDEX(BP予選!$T$13:$T$27,MATCH(テーブル915[[#This Row],[チーム名]]&amp;2,BP予選!$V$13:$V$27,0))</f>
        <v>清原　隼</v>
      </c>
      <c r="F33" s="369" t="str">
        <f>INDEX(テーブル6[合　計],MATCH(テーブル915[[#This Row],[氏　　名2]],テーブル6[氏　　名],0))</f>
        <v/>
      </c>
      <c r="G33" s="370"/>
      <c r="H33" s="371"/>
      <c r="I33" s="372" t="str">
        <f>IF(テーブル915[[#This Row],[得　点]]="","",テーブル915[[#This Row],[得　点]]+テーブル915[[#This Row],[得　点2]])</f>
        <v/>
      </c>
      <c r="J33" s="356" t="str">
        <f>IF(I33="","",RANK(I33,テーブル915[合計点],0))</f>
        <v/>
      </c>
    </row>
    <row r="34" spans="1:10" ht="24.75" customHeight="1">
      <c r="A34" s="367">
        <v>3</v>
      </c>
      <c r="B34" s="368" t="s">
        <v>173</v>
      </c>
      <c r="C34" s="357" t="str">
        <f>INDEX(BP予選!$T$13:$T$27,MATCH(テーブル915[[#This Row],[チーム名]]&amp;1,BP予選!$V$13:$V$27,0))</f>
        <v>曽我　龍聖</v>
      </c>
      <c r="D34" s="369" t="str">
        <f>INDEX(テーブル6[合　計],MATCH(テーブル915[[#This Row],[氏　　名]],テーブル6[氏　　名],0))</f>
        <v/>
      </c>
      <c r="E34" s="346" t="str">
        <f>INDEX(BP予選!$T$13:$T$27,MATCH(テーブル915[[#This Row],[チーム名]]&amp;2,BP予選!$V$13:$V$27,0))</f>
        <v>狩野　佑斗</v>
      </c>
      <c r="F34" s="369" t="str">
        <f>INDEX(テーブル6[合　計],MATCH(テーブル915[[#This Row],[氏　　名2]],テーブル6[氏　　名],0))</f>
        <v/>
      </c>
      <c r="G34" s="370"/>
      <c r="H34" s="371"/>
      <c r="I34" s="372" t="str">
        <f>IF(テーブル915[[#This Row],[得　点]]="","",テーブル915[[#This Row],[得　点]]+テーブル915[[#This Row],[得　点2]])</f>
        <v/>
      </c>
      <c r="J34" s="356" t="str">
        <f>IF(I34="","",RANK(I34,テーブル915[合計点],0))</f>
        <v/>
      </c>
    </row>
    <row r="35" spans="1:10" ht="24.75" customHeight="1">
      <c r="A35" s="367">
        <v>4</v>
      </c>
      <c r="B35" s="368" t="s">
        <v>321</v>
      </c>
      <c r="C35" s="357" t="str">
        <f>INDEX(BP予選!$T$13:$T$27,MATCH(テーブル915[[#This Row],[チーム名]]&amp;1,BP予選!$V$13:$V$27,0))</f>
        <v>金森　陸</v>
      </c>
      <c r="D35" s="369" t="str">
        <f>INDEX(テーブル6[合　計],MATCH(テーブル915[[#This Row],[氏　　名]],テーブル6[氏　　名],0))</f>
        <v/>
      </c>
      <c r="E35" s="346" t="str">
        <f>INDEX(BP予選!$T$13:$T$27,MATCH(テーブル915[[#This Row],[チーム名]]&amp;2,BP予選!$V$13:$V$27,0))</f>
        <v>西村　翔真</v>
      </c>
      <c r="F35" s="369" t="str">
        <f>INDEX(テーブル6[合　計],MATCH(テーブル915[[#This Row],[氏　　名2]],テーブル6[氏　　名],0))</f>
        <v/>
      </c>
      <c r="G35" s="370"/>
      <c r="H35" s="371"/>
      <c r="I35" s="372" t="str">
        <f>IF(テーブル915[[#This Row],[得　点]]="","",テーブル915[[#This Row],[得　点]]+テーブル915[[#This Row],[得　点2]])</f>
        <v/>
      </c>
      <c r="J35" s="356" t="str">
        <f>IF(I35="","",RANK(I35,テーブル915[合計点],0))</f>
        <v/>
      </c>
    </row>
    <row r="36" spans="1:10" ht="24.75" customHeight="1" thickBot="1">
      <c r="A36" s="367">
        <v>5</v>
      </c>
      <c r="B36" s="373" t="s">
        <v>322</v>
      </c>
      <c r="C36" s="374" t="str">
        <f>INDEX(BP予選!$T$13:$T$27,MATCH(テーブル915[[#This Row],[チーム名]]&amp;1,BP予選!$V$13:$V$27,0))</f>
        <v>神山　颯杜</v>
      </c>
      <c r="D36" s="375" t="str">
        <f>INDEX(テーブル6[合　計],MATCH(テーブル915[[#This Row],[氏　　名]],テーブル6[氏　　名],0))</f>
        <v/>
      </c>
      <c r="E36" s="376" t="str">
        <f>INDEX(BP予選!$T$13:$T$27,MATCH(テーブル915[[#This Row],[チーム名]]&amp;2,BP予選!$V$13:$V$27,0))</f>
        <v>棚橋　隼</v>
      </c>
      <c r="F36" s="375" t="str">
        <f>INDEX(テーブル6[合　計],MATCH(テーブル915[[#This Row],[氏　　名2]],テーブル6[氏　　名],0))</f>
        <v/>
      </c>
      <c r="G36" s="377"/>
      <c r="H36" s="378"/>
      <c r="I36" s="379" t="str">
        <f>IF(テーブル915[[#This Row],[得　点]]="","",テーブル915[[#This Row],[得　点]]+テーブル915[[#This Row],[得　点2]])</f>
        <v/>
      </c>
      <c r="J36" s="380" t="str">
        <f>IF(I36="","",RANK(I36,テーブル915[合計点],0))</f>
        <v/>
      </c>
    </row>
    <row r="37" spans="1:10" ht="14.1" customHeight="1">
      <c r="B37" s="51"/>
      <c r="C37" s="51"/>
      <c r="D37" s="57"/>
      <c r="E37" s="51"/>
      <c r="F37" s="57"/>
      <c r="G37" s="51"/>
      <c r="H37" s="57"/>
      <c r="I37" s="57"/>
      <c r="J37" s="54"/>
    </row>
    <row r="38" spans="1:10" ht="24.75" customHeight="1" thickBot="1">
      <c r="B38" s="55" t="s">
        <v>82</v>
      </c>
      <c r="C38" s="55"/>
      <c r="D38" s="48">
        <f>D24</f>
        <v>45956</v>
      </c>
      <c r="E38" s="49">
        <f>E24</f>
        <v>1</v>
      </c>
      <c r="F38" s="55" t="str">
        <f>F24</f>
        <v>済美高等学校射撃場</v>
      </c>
      <c r="G38" s="55"/>
      <c r="H38" s="56"/>
      <c r="I38" s="60"/>
      <c r="J38" s="32"/>
    </row>
    <row r="39" spans="1:10" ht="24.75" customHeight="1" thickBot="1">
      <c r="A39" s="401" t="s">
        <v>141</v>
      </c>
      <c r="B39" s="416" t="s">
        <v>6</v>
      </c>
      <c r="C39" s="431" t="s">
        <v>1</v>
      </c>
      <c r="D39" s="432" t="s">
        <v>7</v>
      </c>
      <c r="E39" s="433" t="s">
        <v>323</v>
      </c>
      <c r="F39" s="325" t="s">
        <v>325</v>
      </c>
      <c r="G39" s="258" t="s">
        <v>326</v>
      </c>
      <c r="H39" s="247" t="s">
        <v>327</v>
      </c>
      <c r="I39" s="415" t="s">
        <v>5</v>
      </c>
      <c r="J39" s="58" t="s">
        <v>4</v>
      </c>
    </row>
    <row r="40" spans="1:10" ht="19.5" customHeight="1">
      <c r="A40" s="409">
        <v>1</v>
      </c>
      <c r="B40" s="417" t="s">
        <v>167</v>
      </c>
      <c r="C40" s="425" t="str">
        <f>INDEX(BP予選!$T$31:$T$38,MATCH(テーブル4[[#This Row],[チーム名]]&amp;1,BP予選!$V$31:$V$38,0))</f>
        <v>橋本  優</v>
      </c>
      <c r="D40" s="426" t="str">
        <f>INDEX(テーブル7[合　計],MATCH(テーブル4[[#This Row],[氏　　名]],テーブル7[氏　　名],0))</f>
        <v/>
      </c>
      <c r="E40" s="427" t="str">
        <f>INDEX(BP予選!$T$31:$T$38,MATCH(テーブル4[[#This Row],[チーム名]]&amp;2,BP予選!$V$31:$V$38,0))</f>
        <v>森　千紘</v>
      </c>
      <c r="F40" s="428" t="str">
        <f>INDEX(テーブル7[合　計],MATCH(テーブル4[[#This Row],[氏　　名2]],テーブル7[氏　　名],0))</f>
        <v/>
      </c>
      <c r="G40" s="429"/>
      <c r="H40" s="430"/>
      <c r="I40" s="420" t="str">
        <f>IF(D40="","",テーブル4[[#This Row],[得　点]]+テーブル4[[#This Row],[得点２]])</f>
        <v/>
      </c>
      <c r="J40" s="410" t="str">
        <f>IF(テーブル4[[#This Row],[得　点]]="","",_xlfn.RANK.EQ(テーブル4[[#This Row],[合計点]],テーブル4[合計点],1))</f>
        <v/>
      </c>
    </row>
    <row r="41" spans="1:10" ht="19.5" customHeight="1">
      <c r="A41" s="411">
        <v>2</v>
      </c>
      <c r="B41" s="418" t="s">
        <v>324</v>
      </c>
      <c r="C41" s="357" t="str">
        <f>INDEX(BP予選!$T$31:$T$38,MATCH(テーブル4[[#This Row],[チーム名]]&amp;1,BP予選!$V$31:$V$38,0))</f>
        <v>東　莉杏</v>
      </c>
      <c r="D41" s="369" t="str">
        <f>INDEX(テーブル7[合　計],MATCH(テーブル4[[#This Row],[氏　　名]],テーブル7[氏　　名],0))</f>
        <v/>
      </c>
      <c r="E41" s="346" t="str">
        <f>INDEX(BP予選!$T$31:$T$38,MATCH(テーブル4[[#This Row],[チーム名]]&amp;2,BP予選!$V$31:$V$38,0))</f>
        <v>藤井　音緒</v>
      </c>
      <c r="F41" s="402" t="str">
        <f>INDEX(テーブル7[合　計],MATCH(テーブル4[[#This Row],[氏　　名2]],テーブル7[氏　　名],0))</f>
        <v/>
      </c>
      <c r="G41" s="370"/>
      <c r="H41" s="423"/>
      <c r="I41" s="421" t="str">
        <f>IF(D41="","",テーブル4[[#This Row],[得　点]]+テーブル4[[#This Row],[得点２]])</f>
        <v/>
      </c>
      <c r="J41" s="412" t="str">
        <f>IF(テーブル4[[#This Row],[得　点]]="","",_xlfn.RANK.EQ(テーブル4[[#This Row],[合計点]],テーブル4[合計点],1))</f>
        <v/>
      </c>
    </row>
    <row r="42" spans="1:10" ht="19.5" customHeight="1" thickBot="1">
      <c r="A42" s="413">
        <v>3</v>
      </c>
      <c r="B42" s="419" t="s">
        <v>155</v>
      </c>
      <c r="C42" s="374" t="str">
        <f>INDEX(BP予選!$T$31:$T$38,MATCH(テーブル4[[#This Row],[チーム名]]&amp;1,BP予選!$V$31:$V$38,0))</f>
        <v>角　　律希</v>
      </c>
      <c r="D42" s="375" t="str">
        <f>INDEX(テーブル7[合　計],MATCH(テーブル4[[#This Row],[氏　　名]],テーブル7[氏　　名],0))</f>
        <v/>
      </c>
      <c r="E42" s="376" t="str">
        <f>INDEX(BP予選!$T$31:$T$38,MATCH(テーブル4[[#This Row],[チーム名]]&amp;2,BP予選!$V$31:$V$38,0))</f>
        <v>関　　希</v>
      </c>
      <c r="F42" s="376" t="str">
        <f>INDEX(テーブル7[合　計],MATCH(テーブル4[[#This Row],[氏　　名2]],テーブル7[氏　　名],0))</f>
        <v/>
      </c>
      <c r="G42" s="377"/>
      <c r="H42" s="424"/>
      <c r="I42" s="422" t="str">
        <f>IF(D42="","",テーブル4[[#This Row],[得　点]]+テーブル4[[#This Row],[得点２]])</f>
        <v/>
      </c>
      <c r="J42" s="414" t="str">
        <f>IF(テーブル4[[#This Row],[得　点]]="","",_xlfn.RANK.EQ(テーブル4[[#This Row],[合計点]],テーブル4[合計点],1))</f>
        <v/>
      </c>
    </row>
    <row r="43" spans="1:10" ht="24" customHeight="1"/>
    <row r="44" spans="1:10" ht="24" customHeight="1"/>
    <row r="45" spans="1:10" ht="24" customHeight="1"/>
    <row r="46" spans="1:10" ht="24.75" customHeight="1"/>
    <row r="47" spans="1:10" ht="24.75" customHeight="1"/>
    <row r="48" spans="1:10" ht="24" customHeight="1"/>
    <row r="49" ht="24" customHeight="1"/>
  </sheetData>
  <phoneticPr fontId="1"/>
  <printOptions horizontalCentered="1"/>
  <pageMargins left="0" right="0" top="0.39370078740157483" bottom="0" header="0" footer="0"/>
  <pageSetup paperSize="9" scale="78" orientation="portrait" r:id="rId1"/>
  <headerFooter alignWithMargins="0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I70"/>
  <sheetViews>
    <sheetView view="pageBreakPreview" zoomScaleNormal="100" zoomScaleSheetLayoutView="100" workbookViewId="0">
      <selection activeCell="E14" sqref="E14:E15"/>
    </sheetView>
  </sheetViews>
  <sheetFormatPr defaultColWidth="9" defaultRowHeight="21.6"/>
  <cols>
    <col min="1" max="1" width="1.6640625" style="30" customWidth="1"/>
    <col min="2" max="2" width="16.6640625" style="30" customWidth="1"/>
    <col min="3" max="5" width="15.6640625" style="30" customWidth="1"/>
    <col min="6" max="6" width="17" style="30" customWidth="1"/>
    <col min="7" max="8" width="15.6640625" style="30" customWidth="1"/>
    <col min="9" max="9" width="19.109375" style="30" customWidth="1"/>
    <col min="10" max="16384" width="9" style="30"/>
  </cols>
  <sheetData>
    <row r="1" spans="2:9">
      <c r="B1" s="30" t="s">
        <v>11</v>
      </c>
      <c r="I1" s="30" t="s">
        <v>328</v>
      </c>
    </row>
    <row r="2" spans="2:9">
      <c r="B2" s="31"/>
      <c r="C2" s="131"/>
      <c r="F2" s="31"/>
      <c r="G2" s="31"/>
      <c r="H2" s="31"/>
    </row>
    <row r="3" spans="2:9">
      <c r="B3" s="467" t="s">
        <v>195</v>
      </c>
      <c r="C3" s="467"/>
      <c r="D3" s="467"/>
      <c r="E3" s="467"/>
      <c r="F3" s="467"/>
      <c r="G3" s="467"/>
      <c r="H3" s="467"/>
      <c r="I3" s="467"/>
    </row>
    <row r="4" spans="2:9">
      <c r="B4" s="188">
        <v>45955</v>
      </c>
      <c r="C4" s="49">
        <f>WEEKDAY(B4)</f>
        <v>7</v>
      </c>
      <c r="D4" s="30" t="s">
        <v>318</v>
      </c>
      <c r="F4" s="31"/>
      <c r="G4" s="31"/>
      <c r="H4" s="31"/>
    </row>
    <row r="5" spans="2:9" ht="22.2" thickBot="1">
      <c r="B5" s="30" t="s">
        <v>46</v>
      </c>
      <c r="C5" s="131"/>
      <c r="F5" s="31"/>
      <c r="G5" s="31"/>
      <c r="H5" s="31"/>
    </row>
    <row r="6" spans="2:9" ht="22.2" thickBot="1">
      <c r="B6" s="132"/>
      <c r="C6" s="132">
        <v>1</v>
      </c>
      <c r="D6" s="133" t="s">
        <v>45</v>
      </c>
      <c r="E6" s="132">
        <v>2</v>
      </c>
      <c r="F6" s="133" t="s">
        <v>45</v>
      </c>
      <c r="G6" s="132">
        <v>3</v>
      </c>
      <c r="H6" s="133" t="s">
        <v>45</v>
      </c>
      <c r="I6" s="134" t="s">
        <v>12</v>
      </c>
    </row>
    <row r="7" spans="2:9">
      <c r="B7" s="461" t="s">
        <v>10</v>
      </c>
      <c r="C7" s="135" t="str">
        <f>AR予選!D14</f>
        <v>富松利信</v>
      </c>
      <c r="D7" s="465" t="str">
        <f>AR予選!M14</f>
        <v/>
      </c>
      <c r="E7" s="135" t="str">
        <f>AR予選!D15</f>
        <v>金森　陸</v>
      </c>
      <c r="F7" s="465" t="str">
        <f>AR予選!M15</f>
        <v/>
      </c>
      <c r="G7" s="135" t="str">
        <f>AR予選!D19</f>
        <v>澤村　魁里</v>
      </c>
      <c r="H7" s="465" t="str">
        <f>AR予選!M19</f>
        <v/>
      </c>
      <c r="I7" s="136"/>
    </row>
    <row r="8" spans="2:9" ht="22.2" thickBot="1">
      <c r="B8" s="462"/>
      <c r="C8" s="137" t="str">
        <f>AR予選!E14</f>
        <v>済美</v>
      </c>
      <c r="D8" s="468"/>
      <c r="E8" s="137" t="str">
        <f>AR予選!E15</f>
        <v>関有知A</v>
      </c>
      <c r="F8" s="466"/>
      <c r="G8" s="137" t="str">
        <f>AR予選!E19</f>
        <v>関有知A</v>
      </c>
      <c r="H8" s="466"/>
      <c r="I8" s="138"/>
    </row>
    <row r="9" spans="2:9">
      <c r="B9" s="461" t="s">
        <v>9</v>
      </c>
      <c r="C9" s="135" t="str">
        <f>AR予選!D26</f>
        <v>藤田　千愛</v>
      </c>
      <c r="D9" s="463" t="str">
        <f>AR予選!M26</f>
        <v/>
      </c>
      <c r="E9" s="135" t="str">
        <f>AR予選!D27</f>
        <v>狩野　由依奈</v>
      </c>
      <c r="F9" s="465" t="str">
        <f>AR予選!M27</f>
        <v/>
      </c>
      <c r="G9" s="135" t="str">
        <f>AR予選!D28</f>
        <v>浅野　海空</v>
      </c>
      <c r="H9" s="465" t="str">
        <f>AR予選!M28</f>
        <v/>
      </c>
      <c r="I9" s="139"/>
    </row>
    <row r="10" spans="2:9" ht="22.2" thickBot="1">
      <c r="B10" s="462"/>
      <c r="C10" s="137" t="str">
        <f>AR予選!E26</f>
        <v>関有知A</v>
      </c>
      <c r="D10" s="464"/>
      <c r="E10" s="137" t="str">
        <f>AR予選!E27</f>
        <v>郡上北</v>
      </c>
      <c r="F10" s="466"/>
      <c r="G10" s="137" t="str">
        <f>AR予選!E28</f>
        <v>関有知A</v>
      </c>
      <c r="H10" s="466"/>
      <c r="I10" s="138"/>
    </row>
    <row r="11" spans="2:9">
      <c r="B11" s="31"/>
      <c r="C11" s="31"/>
      <c r="D11" s="434"/>
      <c r="E11" s="31"/>
      <c r="F11" s="31"/>
      <c r="G11" s="31"/>
      <c r="H11" s="31"/>
    </row>
    <row r="12" spans="2:9" ht="22.2" thickBot="1">
      <c r="B12" s="30" t="s">
        <v>329</v>
      </c>
      <c r="C12" s="141"/>
      <c r="D12" s="141"/>
      <c r="E12" s="141"/>
      <c r="F12" s="141"/>
    </row>
    <row r="13" spans="2:9" ht="22.2" thickBot="1">
      <c r="B13" s="132"/>
      <c r="C13" s="132">
        <v>1</v>
      </c>
      <c r="D13" s="133" t="s">
        <v>45</v>
      </c>
      <c r="E13" s="132">
        <v>2</v>
      </c>
      <c r="F13" s="133" t="s">
        <v>45</v>
      </c>
      <c r="G13" s="132">
        <v>3</v>
      </c>
      <c r="H13" s="133" t="s">
        <v>45</v>
      </c>
      <c r="I13" s="134" t="s">
        <v>12</v>
      </c>
    </row>
    <row r="14" spans="2:9">
      <c r="B14" s="469" t="s">
        <v>10</v>
      </c>
      <c r="C14" s="471" t="str">
        <f>団体戦!B3</f>
        <v>関有知A</v>
      </c>
      <c r="D14" s="143" t="str">
        <f>団体戦!C3</f>
        <v>澤村　魁里</v>
      </c>
      <c r="E14" s="471" t="str">
        <f>団体戦!B4</f>
        <v>済美Ａ</v>
      </c>
      <c r="F14" s="143" t="str">
        <f>団体戦!C4</f>
        <v>加藤凜</v>
      </c>
      <c r="G14" s="473"/>
      <c r="H14" s="435"/>
      <c r="I14" s="144"/>
    </row>
    <row r="15" spans="2:9">
      <c r="B15" s="469"/>
      <c r="C15" s="472"/>
      <c r="D15" s="145" t="str">
        <f>団体戦!E3</f>
        <v>金森　陸</v>
      </c>
      <c r="E15" s="472"/>
      <c r="F15" s="145" t="str">
        <f>団体戦!E4</f>
        <v>田邉陸玖</v>
      </c>
      <c r="G15" s="474"/>
      <c r="H15" s="436"/>
      <c r="I15" s="144"/>
    </row>
    <row r="16" spans="2:9" ht="22.2" thickBot="1">
      <c r="B16" s="470"/>
      <c r="C16" s="146" t="str">
        <f>団体戦!I3</f>
        <v/>
      </c>
      <c r="D16" s="147" t="str">
        <f>団体戦!G3</f>
        <v>後藤　慎吾</v>
      </c>
      <c r="E16" s="146" t="str">
        <f>団体戦!I4</f>
        <v/>
      </c>
      <c r="F16" s="147" t="str">
        <f>団体戦!G4</f>
        <v>福田隆人</v>
      </c>
      <c r="G16" s="437"/>
      <c r="H16" s="438"/>
      <c r="I16" s="148"/>
    </row>
    <row r="17" spans="2:9">
      <c r="B17" s="469" t="s">
        <v>9</v>
      </c>
      <c r="C17" s="471" t="str">
        <f>団体戦!B8</f>
        <v>関有知A</v>
      </c>
      <c r="D17" s="143" t="str" cm="1">
        <f t="array" ref="D17">テーブル1114[氏　　名]</f>
        <v>浅野　海空</v>
      </c>
      <c r="E17" s="473"/>
      <c r="F17" s="435"/>
      <c r="G17" s="473"/>
      <c r="H17" s="435"/>
      <c r="I17" s="149"/>
    </row>
    <row r="18" spans="2:9">
      <c r="B18" s="469"/>
      <c r="C18" s="472"/>
      <c r="D18" s="145" t="str" cm="1">
        <f t="array" ref="D18">テーブル1114[氏　　名2]</f>
        <v>三浦　柚希</v>
      </c>
      <c r="E18" s="474"/>
      <c r="F18" s="436"/>
      <c r="G18" s="474"/>
      <c r="H18" s="436"/>
      <c r="I18" s="144"/>
    </row>
    <row r="19" spans="2:9" ht="22.2" thickBot="1">
      <c r="B19" s="470"/>
      <c r="C19" s="146" t="str" cm="1">
        <f t="array" ref="C19">テーブル1114[合計点]</f>
        <v/>
      </c>
      <c r="D19" s="147" t="str" cm="1">
        <f t="array" ref="D19">テーブル1114[氏　　名3]</f>
        <v>藤田　千愛</v>
      </c>
      <c r="E19" s="437"/>
      <c r="F19" s="438"/>
      <c r="G19" s="437"/>
      <c r="H19" s="438"/>
      <c r="I19" s="148"/>
    </row>
    <row r="20" spans="2:9">
      <c r="B20" s="31"/>
      <c r="C20" s="31"/>
      <c r="D20" s="434"/>
      <c r="E20" s="31"/>
      <c r="F20" s="31"/>
      <c r="G20" s="31"/>
      <c r="H20" s="31"/>
    </row>
    <row r="21" spans="2:9" ht="22.2" thickBot="1">
      <c r="B21" s="141" t="s">
        <v>193</v>
      </c>
      <c r="C21" s="131"/>
      <c r="F21" s="31"/>
      <c r="G21" s="31"/>
      <c r="H21" s="31"/>
    </row>
    <row r="22" spans="2:9" ht="22.2" thickBot="1">
      <c r="B22" s="132"/>
      <c r="C22" s="132">
        <v>1</v>
      </c>
      <c r="D22" s="133" t="s">
        <v>45</v>
      </c>
      <c r="E22" s="132">
        <v>2</v>
      </c>
      <c r="F22" s="133" t="s">
        <v>45</v>
      </c>
      <c r="G22" s="132">
        <v>3</v>
      </c>
      <c r="H22" s="133" t="s">
        <v>45</v>
      </c>
      <c r="I22" s="134" t="s">
        <v>12</v>
      </c>
    </row>
    <row r="23" spans="2:9">
      <c r="B23" s="461" t="s">
        <v>10</v>
      </c>
      <c r="C23" s="135" t="str">
        <f>'AP予選 '!D13</f>
        <v>田邉陸玖</v>
      </c>
      <c r="D23" s="465" t="str">
        <f>'AP予選 '!M13</f>
        <v/>
      </c>
      <c r="E23" s="135" t="str">
        <f>'AP予選 '!D14</f>
        <v>徳田恭実</v>
      </c>
      <c r="F23" s="465" t="str">
        <f>'AP予選 '!M14</f>
        <v/>
      </c>
      <c r="G23" s="439"/>
      <c r="H23" s="475"/>
      <c r="I23" s="136"/>
    </row>
    <row r="24" spans="2:9" ht="22.2" thickBot="1">
      <c r="B24" s="462"/>
      <c r="C24" s="137" t="str">
        <f>'AP予選 '!E13</f>
        <v>済美</v>
      </c>
      <c r="D24" s="468"/>
      <c r="E24" s="137" t="str">
        <f>'AP予選 '!E14</f>
        <v>済美</v>
      </c>
      <c r="F24" s="466"/>
      <c r="G24" s="440"/>
      <c r="H24" s="476"/>
      <c r="I24" s="138"/>
    </row>
    <row r="25" spans="2:9">
      <c r="B25" s="461" t="s">
        <v>9</v>
      </c>
      <c r="C25" s="135" t="str" cm="1">
        <f t="array" ref="C25">テーブル1012[氏　　名]</f>
        <v>中島　結彩</v>
      </c>
      <c r="D25" s="463" t="str">
        <f>'AP予選 '!M30</f>
        <v/>
      </c>
      <c r="E25" s="439"/>
      <c r="F25" s="475"/>
      <c r="G25" s="439"/>
      <c r="H25" s="475"/>
      <c r="I25" s="139"/>
    </row>
    <row r="26" spans="2:9" ht="22.2" thickBot="1">
      <c r="B26" s="462"/>
      <c r="C26" s="137" t="str" cm="1">
        <f t="array" ref="C26">テーブル1012[学　校]</f>
        <v>岐阜北</v>
      </c>
      <c r="D26" s="464"/>
      <c r="E26" s="440"/>
      <c r="F26" s="476"/>
      <c r="G26" s="440"/>
      <c r="H26" s="476"/>
      <c r="I26" s="138"/>
    </row>
    <row r="27" spans="2:9">
      <c r="B27" s="31"/>
      <c r="C27" s="31"/>
      <c r="D27" s="434"/>
      <c r="E27" s="31"/>
      <c r="F27" s="31"/>
      <c r="G27" s="31"/>
      <c r="H27" s="31"/>
    </row>
    <row r="28" spans="2:9" ht="22.2" thickBot="1">
      <c r="B28" s="30" t="s">
        <v>330</v>
      </c>
      <c r="C28" s="141"/>
      <c r="D28" s="141"/>
      <c r="E28" s="141"/>
      <c r="F28" s="141"/>
    </row>
    <row r="29" spans="2:9" ht="22.2" thickBot="1">
      <c r="B29" s="132"/>
      <c r="C29" s="132">
        <v>1</v>
      </c>
      <c r="D29" s="133" t="s">
        <v>45</v>
      </c>
      <c r="E29" s="132">
        <v>2</v>
      </c>
      <c r="F29" s="133" t="s">
        <v>45</v>
      </c>
      <c r="G29" s="132">
        <v>3</v>
      </c>
      <c r="H29" s="133" t="s">
        <v>45</v>
      </c>
      <c r="I29" s="134" t="s">
        <v>12</v>
      </c>
    </row>
    <row r="30" spans="2:9">
      <c r="B30" s="469" t="s">
        <v>10</v>
      </c>
      <c r="C30" s="441" t="str" cm="1">
        <f t="array" ref="C30">テーブル1115[チーム名]</f>
        <v>済美A</v>
      </c>
      <c r="D30" s="143" t="str" cm="1">
        <f t="array" ref="D30">テーブル1115[氏　　名]</f>
        <v>田邉陸玖</v>
      </c>
      <c r="E30" s="442"/>
      <c r="F30" s="435"/>
      <c r="G30" s="442"/>
      <c r="H30" s="435"/>
      <c r="I30" s="144"/>
    </row>
    <row r="31" spans="2:9" ht="22.2" thickBot="1">
      <c r="B31" s="470"/>
      <c r="C31" s="146" t="str" cm="1">
        <f t="array" ref="C31">テーブル1115[合計点]</f>
        <v/>
      </c>
      <c r="D31" s="147" t="str" cm="1">
        <f t="array" ref="D31">テーブル1115[氏　　名2]</f>
        <v>徳田恭実</v>
      </c>
      <c r="E31" s="437"/>
      <c r="F31" s="438"/>
      <c r="G31" s="437"/>
      <c r="H31" s="438"/>
      <c r="I31" s="148"/>
    </row>
    <row r="32" spans="2:9">
      <c r="B32" s="150"/>
      <c r="C32" s="150"/>
      <c r="D32" s="150"/>
      <c r="E32" s="150"/>
      <c r="F32" s="150"/>
      <c r="G32" s="150"/>
      <c r="H32" s="150"/>
      <c r="I32" s="151"/>
    </row>
    <row r="33" spans="2:9">
      <c r="B33" s="30" t="s">
        <v>13</v>
      </c>
      <c r="C33" s="30" t="s">
        <v>31</v>
      </c>
      <c r="F33" s="140" t="s">
        <v>331</v>
      </c>
      <c r="G33" s="140"/>
      <c r="H33" s="141" t="s">
        <v>332</v>
      </c>
    </row>
    <row r="34" spans="2:9">
      <c r="B34" s="30" t="s">
        <v>11</v>
      </c>
      <c r="I34" s="30" t="s">
        <v>333</v>
      </c>
    </row>
    <row r="35" spans="2:9">
      <c r="B35" s="31"/>
      <c r="C35" s="131"/>
      <c r="F35" s="31"/>
      <c r="G35" s="31"/>
      <c r="H35" s="31"/>
    </row>
    <row r="36" spans="2:9">
      <c r="B36" s="467" t="s">
        <v>194</v>
      </c>
      <c r="C36" s="467"/>
      <c r="D36" s="467"/>
      <c r="E36" s="467"/>
      <c r="F36" s="467"/>
      <c r="G36" s="467"/>
      <c r="H36" s="467"/>
      <c r="I36" s="467"/>
    </row>
    <row r="37" spans="2:9">
      <c r="B37" s="31"/>
      <c r="C37" s="131"/>
      <c r="F37" s="31"/>
      <c r="G37" s="31"/>
      <c r="H37" s="31"/>
    </row>
    <row r="38" spans="2:9">
      <c r="B38" s="188">
        <v>45956</v>
      </c>
      <c r="C38" s="49">
        <f>WEEKDAY(B38)</f>
        <v>1</v>
      </c>
      <c r="D38" s="141" t="str">
        <f>[2]BR予選!E5</f>
        <v>済美高等学校射撃場</v>
      </c>
      <c r="E38" s="141"/>
      <c r="F38" s="477"/>
      <c r="G38" s="478"/>
      <c r="H38" s="478"/>
      <c r="I38" s="478"/>
    </row>
    <row r="39" spans="2:9">
      <c r="B39" s="31"/>
      <c r="C39" s="131"/>
      <c r="F39" s="478"/>
      <c r="G39" s="478"/>
      <c r="H39" s="478"/>
      <c r="I39" s="478"/>
    </row>
    <row r="40" spans="2:9" ht="22.2" thickBot="1">
      <c r="B40" s="30" t="s">
        <v>47</v>
      </c>
      <c r="C40" s="141"/>
      <c r="D40" s="141"/>
      <c r="E40" s="141"/>
      <c r="F40" s="141"/>
    </row>
    <row r="41" spans="2:9" ht="22.2" thickBot="1">
      <c r="B41" s="132"/>
      <c r="C41" s="132">
        <v>1</v>
      </c>
      <c r="D41" s="133" t="s">
        <v>45</v>
      </c>
      <c r="E41" s="132">
        <v>2</v>
      </c>
      <c r="F41" s="133" t="s">
        <v>45</v>
      </c>
      <c r="G41" s="132">
        <v>3</v>
      </c>
      <c r="H41" s="133" t="s">
        <v>45</v>
      </c>
      <c r="I41" s="134" t="s">
        <v>12</v>
      </c>
    </row>
    <row r="42" spans="2:9">
      <c r="B42" s="469" t="s">
        <v>10</v>
      </c>
      <c r="C42" s="471" t="str">
        <f>団体戦!B17</f>
        <v>済美Ａ</v>
      </c>
      <c r="D42" s="143" t="str">
        <f>団体戦!C17</f>
        <v>加藤凜</v>
      </c>
      <c r="E42" s="471" t="str">
        <f>団体戦!B18</f>
        <v>済美Ｂ</v>
      </c>
      <c r="F42" s="143" t="str">
        <f>団体戦!C18</f>
        <v>富松利信</v>
      </c>
      <c r="G42" s="471" t="str">
        <f>団体戦!B19</f>
        <v>関有知A</v>
      </c>
      <c r="H42" s="143" t="str">
        <f>団体戦!C19</f>
        <v>澤村　魁里</v>
      </c>
      <c r="I42" s="144"/>
    </row>
    <row r="43" spans="2:9">
      <c r="B43" s="469"/>
      <c r="C43" s="472"/>
      <c r="D43" s="145" t="str">
        <f>団体戦!E17</f>
        <v>田邉陸玖</v>
      </c>
      <c r="E43" s="472"/>
      <c r="F43" s="145" t="str">
        <f>団体戦!E18</f>
        <v>井口蒼太</v>
      </c>
      <c r="G43" s="472"/>
      <c r="H43" s="145" t="str">
        <f>団体戦!E19</f>
        <v>金森　陸</v>
      </c>
      <c r="I43" s="144"/>
    </row>
    <row r="44" spans="2:9" ht="22.2" thickBot="1">
      <c r="B44" s="470"/>
      <c r="C44" s="146" t="str">
        <f>団体戦!I17</f>
        <v/>
      </c>
      <c r="D44" s="147" t="str">
        <f>団体戦!G17</f>
        <v>福田隆人</v>
      </c>
      <c r="E44" s="146" t="str">
        <f>団体戦!I18</f>
        <v/>
      </c>
      <c r="F44" s="147" t="str">
        <f>団体戦!G18</f>
        <v>足立蓮次</v>
      </c>
      <c r="G44" s="146" t="str">
        <f>団体戦!I19</f>
        <v/>
      </c>
      <c r="H44" s="147" t="str">
        <f>団体戦!G19</f>
        <v>後藤　慎吾</v>
      </c>
      <c r="I44" s="148"/>
    </row>
    <row r="45" spans="2:9">
      <c r="B45" s="469" t="s">
        <v>9</v>
      </c>
      <c r="C45" s="471" t="str">
        <f>団体戦!B26</f>
        <v>大垣日大A</v>
      </c>
      <c r="D45" s="143" t="str">
        <f>団体戦!C26</f>
        <v>角　　律希</v>
      </c>
      <c r="E45" s="471" t="str">
        <f>団体戦!B27</f>
        <v>関有知A</v>
      </c>
      <c r="F45" s="143" t="str">
        <f>団体戦!C27</f>
        <v>浅野　海空</v>
      </c>
      <c r="G45" s="471" t="str">
        <f>団体戦!B28</f>
        <v>鶯谷A</v>
      </c>
      <c r="H45" s="143" t="str">
        <f>団体戦!C28</f>
        <v>木戸脇　亜依</v>
      </c>
      <c r="I45" s="149"/>
    </row>
    <row r="46" spans="2:9">
      <c r="B46" s="469"/>
      <c r="C46" s="472"/>
      <c r="D46" s="145" t="str">
        <f>団体戦!E26</f>
        <v>山田　千結</v>
      </c>
      <c r="E46" s="472"/>
      <c r="F46" s="145" t="str">
        <f>団体戦!E27</f>
        <v>三浦　柚希</v>
      </c>
      <c r="G46" s="472"/>
      <c r="H46" s="145" t="str">
        <f>団体戦!E28</f>
        <v>三宅　鈴音</v>
      </c>
      <c r="I46" s="144"/>
    </row>
    <row r="47" spans="2:9" ht="22.2" thickBot="1">
      <c r="B47" s="470"/>
      <c r="C47" s="146" t="str">
        <f>団体戦!I26</f>
        <v/>
      </c>
      <c r="D47" s="147" t="str">
        <f>団体戦!G26</f>
        <v>関　　希</v>
      </c>
      <c r="E47" s="146" t="str">
        <f>団体戦!I27</f>
        <v/>
      </c>
      <c r="F47" s="147" t="str">
        <f>団体戦!G27</f>
        <v>藤田　千愛</v>
      </c>
      <c r="G47" s="146" t="str">
        <f>団体戦!I28</f>
        <v/>
      </c>
      <c r="H47" s="147" t="str">
        <f>団体戦!G28</f>
        <v>中村　由弥</v>
      </c>
      <c r="I47" s="148"/>
    </row>
    <row r="48" spans="2:9">
      <c r="B48" s="31"/>
      <c r="C48" s="131"/>
      <c r="F48" s="31"/>
      <c r="G48" s="31"/>
      <c r="H48" s="31"/>
    </row>
    <row r="49" spans="2:9" ht="22.2" thickBot="1">
      <c r="B49" s="30" t="s">
        <v>48</v>
      </c>
      <c r="C49" s="131"/>
      <c r="F49" s="31"/>
      <c r="G49" s="31"/>
      <c r="H49" s="31"/>
    </row>
    <row r="50" spans="2:9" ht="22.2" thickBot="1">
      <c r="B50" s="132"/>
      <c r="C50" s="132">
        <v>1</v>
      </c>
      <c r="D50" s="133" t="s">
        <v>45</v>
      </c>
      <c r="E50" s="132">
        <v>2</v>
      </c>
      <c r="F50" s="133" t="s">
        <v>45</v>
      </c>
      <c r="G50" s="132">
        <v>3</v>
      </c>
      <c r="H50" s="133" t="s">
        <v>45</v>
      </c>
      <c r="I50" s="134" t="s">
        <v>12</v>
      </c>
    </row>
    <row r="51" spans="2:9">
      <c r="B51" s="461" t="s">
        <v>10</v>
      </c>
      <c r="C51" s="135" t="str">
        <f>BR予選!D13</f>
        <v>武藤　弘歩</v>
      </c>
      <c r="D51" s="465" t="str">
        <f>BR予選!M13</f>
        <v/>
      </c>
      <c r="E51" s="135" t="str">
        <f>BR予選!D14</f>
        <v>野崎　絆太</v>
      </c>
      <c r="F51" s="465" t="str">
        <f>BR予選!M14</f>
        <v/>
      </c>
      <c r="G51" s="135" t="str">
        <f>BR予選!D15</f>
        <v>田中　友貴</v>
      </c>
      <c r="H51" s="465" t="str">
        <f>BR予選!M15</f>
        <v/>
      </c>
      <c r="I51" s="136"/>
    </row>
    <row r="52" spans="2:9" ht="22.2" thickBot="1">
      <c r="B52" s="462"/>
      <c r="C52" s="137" t="str">
        <f>BR予選!E13</f>
        <v>関有知B</v>
      </c>
      <c r="D52" s="466"/>
      <c r="E52" s="137" t="str">
        <f>BR予選!E14</f>
        <v>関有知</v>
      </c>
      <c r="F52" s="466"/>
      <c r="G52" s="137" t="str">
        <f>BR予選!E15</f>
        <v>大垣日大</v>
      </c>
      <c r="H52" s="466"/>
      <c r="I52" s="138"/>
    </row>
    <row r="53" spans="2:9">
      <c r="B53" s="461" t="s">
        <v>9</v>
      </c>
      <c r="C53" s="135" t="str">
        <f>BR予選!D38</f>
        <v>大野愛季</v>
      </c>
      <c r="D53" s="465" t="str">
        <f>BR予選!M38</f>
        <v/>
      </c>
      <c r="E53" s="135" t="str">
        <f>BR予選!D39</f>
        <v>水野　音流</v>
      </c>
      <c r="F53" s="465" t="str">
        <f>BR予選!M39</f>
        <v/>
      </c>
      <c r="G53" s="135" t="str">
        <f>BR予選!D40</f>
        <v>関　　希</v>
      </c>
      <c r="H53" s="465" t="str">
        <f>BR予選!M40</f>
        <v/>
      </c>
      <c r="I53" s="139"/>
    </row>
    <row r="54" spans="2:9" ht="22.2" thickBot="1">
      <c r="B54" s="462"/>
      <c r="C54" s="137" t="str">
        <f>BR予選!E38</f>
        <v>済美</v>
      </c>
      <c r="D54" s="466"/>
      <c r="E54" s="137" t="str">
        <f>BR予選!E39</f>
        <v>関有知A</v>
      </c>
      <c r="F54" s="466"/>
      <c r="G54" s="137" t="str">
        <f>BR予選!E40</f>
        <v>大垣日大A</v>
      </c>
      <c r="H54" s="466"/>
      <c r="I54" s="138"/>
    </row>
    <row r="55" spans="2:9">
      <c r="B55" s="31"/>
      <c r="C55" s="131"/>
      <c r="F55" s="31"/>
      <c r="G55" s="31"/>
      <c r="H55" s="31"/>
    </row>
    <row r="56" spans="2:9" ht="22.2" thickBot="1">
      <c r="B56" s="30" t="s">
        <v>94</v>
      </c>
      <c r="C56" s="141"/>
      <c r="D56" s="141"/>
      <c r="E56" s="141"/>
      <c r="F56" s="141"/>
    </row>
    <row r="57" spans="2:9" ht="22.2" thickBot="1">
      <c r="B57" s="132"/>
      <c r="C57" s="132">
        <v>1</v>
      </c>
      <c r="D57" s="133" t="s">
        <v>45</v>
      </c>
      <c r="E57" s="132">
        <v>2</v>
      </c>
      <c r="F57" s="133" t="s">
        <v>45</v>
      </c>
      <c r="G57" s="132">
        <v>3</v>
      </c>
      <c r="H57" s="133" t="s">
        <v>45</v>
      </c>
      <c r="I57" s="134" t="s">
        <v>12</v>
      </c>
    </row>
    <row r="58" spans="2:9">
      <c r="B58" s="469" t="s">
        <v>10</v>
      </c>
      <c r="C58" s="142" t="str">
        <f>団体戦!B32</f>
        <v>済美A</v>
      </c>
      <c r="D58" s="143" t="str">
        <f>団体戦!C32</f>
        <v>山下元喜</v>
      </c>
      <c r="E58" s="142" t="str">
        <f>団体戦!B33</f>
        <v>鶯谷A</v>
      </c>
      <c r="F58" s="143" t="str">
        <f>団体戦!C33</f>
        <v>伊東　淳彦</v>
      </c>
      <c r="G58" s="142" t="str">
        <f>団体戦!B34</f>
        <v>郡上北A</v>
      </c>
      <c r="H58" s="143" t="str">
        <f>団体戦!C34</f>
        <v>曽我　龍聖</v>
      </c>
      <c r="I58" s="144"/>
    </row>
    <row r="59" spans="2:9" ht="22.2" thickBot="1">
      <c r="B59" s="470"/>
      <c r="C59" s="146" t="str">
        <f>団体戦!I32</f>
        <v/>
      </c>
      <c r="D59" s="147" t="str">
        <f>団体戦!E32</f>
        <v>徳田恭実</v>
      </c>
      <c r="E59" s="146" t="str">
        <f>団体戦!I33</f>
        <v/>
      </c>
      <c r="F59" s="147" t="str">
        <f>団体戦!E33</f>
        <v>清原　隼</v>
      </c>
      <c r="G59" s="146" t="str">
        <f>団体戦!I34</f>
        <v/>
      </c>
      <c r="H59" s="147" t="str">
        <f>団体戦!E34</f>
        <v>狩野　佑斗</v>
      </c>
      <c r="I59" s="148"/>
    </row>
    <row r="60" spans="2:9">
      <c r="B60" s="469" t="s">
        <v>9</v>
      </c>
      <c r="C60" s="142" t="str">
        <f>団体戦!B40</f>
        <v>鶯谷A</v>
      </c>
      <c r="D60" s="143" t="str">
        <f>団体戦!C40</f>
        <v>橋本  優</v>
      </c>
      <c r="E60" s="142" t="str">
        <f>団体戦!B41</f>
        <v>鶯谷B</v>
      </c>
      <c r="F60" s="143" t="str">
        <f>団体戦!C41</f>
        <v>東　莉杏</v>
      </c>
      <c r="G60" s="142" t="str">
        <f>団体戦!B42</f>
        <v>大垣日大A</v>
      </c>
      <c r="H60" s="143" t="str">
        <f>団体戦!C42</f>
        <v>角　　律希</v>
      </c>
      <c r="I60" s="144"/>
    </row>
    <row r="61" spans="2:9" ht="22.2" thickBot="1">
      <c r="B61" s="470"/>
      <c r="C61" s="146" t="str">
        <f>団体戦!I40</f>
        <v/>
      </c>
      <c r="D61" s="147" t="str">
        <f>団体戦!E40</f>
        <v>森　千紘</v>
      </c>
      <c r="E61" s="146" t="str">
        <f>団体戦!I41</f>
        <v/>
      </c>
      <c r="F61" s="147" t="str">
        <f>団体戦!E41</f>
        <v>藤井　音緒</v>
      </c>
      <c r="G61" s="146" t="str">
        <f>団体戦!I42</f>
        <v/>
      </c>
      <c r="H61" s="147" t="str">
        <f>団体戦!E42</f>
        <v>関　　希</v>
      </c>
      <c r="I61" s="148"/>
    </row>
    <row r="62" spans="2:9">
      <c r="B62" s="150"/>
      <c r="C62" s="150"/>
      <c r="D62" s="150"/>
      <c r="E62" s="150"/>
      <c r="F62" s="150"/>
      <c r="G62" s="150"/>
      <c r="H62" s="150"/>
      <c r="I62" s="151"/>
    </row>
    <row r="63" spans="2:9" ht="22.2" thickBot="1">
      <c r="B63" s="30" t="s">
        <v>93</v>
      </c>
      <c r="C63" s="131"/>
      <c r="F63" s="31"/>
      <c r="G63" s="31"/>
      <c r="H63" s="31"/>
    </row>
    <row r="64" spans="2:9" ht="22.2" thickBot="1">
      <c r="B64" s="132"/>
      <c r="C64" s="132">
        <v>1</v>
      </c>
      <c r="D64" s="133" t="s">
        <v>45</v>
      </c>
      <c r="E64" s="132">
        <v>2</v>
      </c>
      <c r="F64" s="133" t="s">
        <v>45</v>
      </c>
      <c r="G64" s="132">
        <v>3</v>
      </c>
      <c r="H64" s="133" t="s">
        <v>45</v>
      </c>
      <c r="I64" s="134" t="s">
        <v>12</v>
      </c>
    </row>
    <row r="65" spans="2:9">
      <c r="B65" s="469" t="s">
        <v>10</v>
      </c>
      <c r="C65" s="152" t="str">
        <f>BP予選!E13</f>
        <v>田邉陸玖</v>
      </c>
      <c r="D65" s="479" t="str">
        <f>BP予選!N13</f>
        <v/>
      </c>
      <c r="E65" s="152" t="str">
        <f>BP予選!E14</f>
        <v>棚橋　隼</v>
      </c>
      <c r="F65" s="479" t="str">
        <f>BP予選!N14</f>
        <v/>
      </c>
      <c r="G65" s="152" t="str">
        <f>BP予選!E15</f>
        <v>伊東　淳彦</v>
      </c>
      <c r="H65" s="479" t="str">
        <f>BP予選!N15</f>
        <v/>
      </c>
      <c r="I65" s="144"/>
    </row>
    <row r="66" spans="2:9" ht="22.2" thickBot="1">
      <c r="B66" s="470"/>
      <c r="C66" s="153" t="str">
        <f>BP予選!F13</f>
        <v>済美</v>
      </c>
      <c r="D66" s="480"/>
      <c r="E66" s="153" t="str">
        <f>BP予選!F14</f>
        <v>関有知B</v>
      </c>
      <c r="F66" s="480"/>
      <c r="G66" s="153" t="str">
        <f>BP予選!F15</f>
        <v>鶯谷A</v>
      </c>
      <c r="H66" s="480"/>
      <c r="I66" s="148"/>
    </row>
    <row r="67" spans="2:9">
      <c r="B67" s="469" t="s">
        <v>9</v>
      </c>
      <c r="C67" s="152" t="str">
        <f>BP予選!E31</f>
        <v>橋本  優</v>
      </c>
      <c r="D67" s="479" t="str">
        <f>BP予選!N31</f>
        <v/>
      </c>
      <c r="E67" s="152" t="str">
        <f>BP予選!E32</f>
        <v>角　　律希</v>
      </c>
      <c r="F67" s="479" t="str">
        <f>BP予選!N32</f>
        <v/>
      </c>
      <c r="G67" s="152" t="str">
        <f>BP予選!E33</f>
        <v>柚木紹</v>
      </c>
      <c r="H67" s="479" t="str">
        <f>BP予選!N33</f>
        <v/>
      </c>
      <c r="I67" s="149"/>
    </row>
    <row r="68" spans="2:9" ht="22.2" thickBot="1">
      <c r="B68" s="470"/>
      <c r="C68" s="153" t="str">
        <f>BP予選!F31</f>
        <v>鶯谷A</v>
      </c>
      <c r="D68" s="480"/>
      <c r="E68" s="153" t="str">
        <f>BP予選!F32</f>
        <v>大垣日大A</v>
      </c>
      <c r="F68" s="480"/>
      <c r="G68" s="153" t="str">
        <f>BP予選!F33</f>
        <v>済美</v>
      </c>
      <c r="H68" s="480"/>
      <c r="I68" s="148"/>
    </row>
    <row r="69" spans="2:9">
      <c r="B69" s="31"/>
      <c r="C69" s="131"/>
      <c r="F69" s="31"/>
      <c r="G69" s="31"/>
      <c r="H69" s="31"/>
    </row>
    <row r="70" spans="2:9">
      <c r="B70" s="30" t="s">
        <v>13</v>
      </c>
      <c r="C70" s="30" t="s">
        <v>31</v>
      </c>
      <c r="F70" s="140" t="s">
        <v>331</v>
      </c>
      <c r="G70" s="140"/>
      <c r="H70" s="141" t="s">
        <v>332</v>
      </c>
    </row>
  </sheetData>
  <sheetProtection algorithmName="SHA-512" hashValue="FLEV5wynhmt8Oca+aWU9GSPbQkIPXtMO8rvMrBXjQzfBFkXHoygYJGsU1oTD3B4CiMW1tQ9PZwjID5Db585TUQ==" saltValue="YXfsUmU85M4JRlQPlX9DQg==" spinCount="100000" sheet="1" objects="1" scenarios="1"/>
  <mergeCells count="54">
    <mergeCell ref="B67:B68"/>
    <mergeCell ref="D67:D68"/>
    <mergeCell ref="F67:F68"/>
    <mergeCell ref="H67:H68"/>
    <mergeCell ref="H51:H52"/>
    <mergeCell ref="B53:B54"/>
    <mergeCell ref="D53:D54"/>
    <mergeCell ref="F53:F54"/>
    <mergeCell ref="H53:H54"/>
    <mergeCell ref="B58:B59"/>
    <mergeCell ref="B60:B61"/>
    <mergeCell ref="B65:B66"/>
    <mergeCell ref="D65:D66"/>
    <mergeCell ref="F65:F66"/>
    <mergeCell ref="H65:H66"/>
    <mergeCell ref="B45:B47"/>
    <mergeCell ref="C45:C46"/>
    <mergeCell ref="E45:E46"/>
    <mergeCell ref="G45:G46"/>
    <mergeCell ref="B51:B52"/>
    <mergeCell ref="D51:D52"/>
    <mergeCell ref="F51:F52"/>
    <mergeCell ref="B30:B31"/>
    <mergeCell ref="B36:I36"/>
    <mergeCell ref="F38:I39"/>
    <mergeCell ref="B42:B44"/>
    <mergeCell ref="C42:C43"/>
    <mergeCell ref="E42:E43"/>
    <mergeCell ref="G42:G43"/>
    <mergeCell ref="B23:B24"/>
    <mergeCell ref="D23:D24"/>
    <mergeCell ref="F23:F24"/>
    <mergeCell ref="H23:H24"/>
    <mergeCell ref="B25:B26"/>
    <mergeCell ref="D25:D26"/>
    <mergeCell ref="F25:F26"/>
    <mergeCell ref="H25:H26"/>
    <mergeCell ref="B14:B16"/>
    <mergeCell ref="C14:C15"/>
    <mergeCell ref="E14:E15"/>
    <mergeCell ref="G14:G15"/>
    <mergeCell ref="B17:B19"/>
    <mergeCell ref="C17:C18"/>
    <mergeCell ref="E17:E18"/>
    <mergeCell ref="G17:G18"/>
    <mergeCell ref="B9:B10"/>
    <mergeCell ref="D9:D10"/>
    <mergeCell ref="F9:F10"/>
    <mergeCell ref="H9:H10"/>
    <mergeCell ref="B3:I3"/>
    <mergeCell ref="B7:B8"/>
    <mergeCell ref="D7:D8"/>
    <mergeCell ref="F7:F8"/>
    <mergeCell ref="H7:H8"/>
  </mergeCells>
  <phoneticPr fontId="1"/>
  <pageMargins left="0.7" right="0.7" top="0.75" bottom="0.75" header="0.3" footer="0.3"/>
  <pageSetup paperSize="9" scale="67" orientation="portrait" r:id="rId1"/>
  <rowBreaks count="1" manualBreakCount="1">
    <brk id="3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154EAFCA392174382E3959D1F322683" ma:contentTypeVersion="2" ma:contentTypeDescription="新しいドキュメントを作成します。" ma:contentTypeScope="" ma:versionID="14e874f8263eccaf8df68f0ff494020b">
  <xsd:schema xmlns:xsd="http://www.w3.org/2001/XMLSchema" xmlns:xs="http://www.w3.org/2001/XMLSchema" xmlns:p="http://schemas.microsoft.com/office/2006/metadata/properties" xmlns:ns2="ea05214a-db7b-4155-b6bb-9c7fa13a9efe" targetNamespace="http://schemas.microsoft.com/office/2006/metadata/properties" ma:root="true" ma:fieldsID="f521d54092720cc57323a7eaddcf0b82" ns2:_="">
    <xsd:import namespace="ea05214a-db7b-4155-b6bb-9c7fa13a9e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05214a-db7b-4155-b6bb-9c7fa13a9e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8E5C9B3-877E-4174-9B85-8AC912E761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09DC59-5A2B-4AC1-97DF-9A6FD15A0307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ea05214a-db7b-4155-b6bb-9c7fa13a9ef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EE02DB-F670-43C0-828D-8143D8D5FBA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ea05214a-db7b-4155-b6bb-9c7fa13a9efe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11</vt:i4>
      </vt:variant>
    </vt:vector>
  </HeadingPairs>
  <TitlesOfParts>
    <vt:vector size="23" baseType="lpstr">
      <vt:lpstr>概要</vt:lpstr>
      <vt:lpstr>表紙</vt:lpstr>
      <vt:lpstr>日程</vt:lpstr>
      <vt:lpstr>AR予選</vt:lpstr>
      <vt:lpstr>AP予選 </vt:lpstr>
      <vt:lpstr>BR予選</vt:lpstr>
      <vt:lpstr>BP予選</vt:lpstr>
      <vt:lpstr>団体戦</vt:lpstr>
      <vt:lpstr>新聞社報告</vt:lpstr>
      <vt:lpstr>決勝_男子</vt:lpstr>
      <vt:lpstr>決勝_女子</vt:lpstr>
      <vt:lpstr>補助員</vt:lpstr>
      <vt:lpstr>'AP予選 '!Print_Area</vt:lpstr>
      <vt:lpstr>AR予選!Print_Area</vt:lpstr>
      <vt:lpstr>BP予選!Print_Area</vt:lpstr>
      <vt:lpstr>BR予選!Print_Area</vt:lpstr>
      <vt:lpstr>概要!Print_Area</vt:lpstr>
      <vt:lpstr>決勝_女子!Print_Area</vt:lpstr>
      <vt:lpstr>決勝_男子!Print_Area</vt:lpstr>
      <vt:lpstr>団体戦!Print_Area</vt:lpstr>
      <vt:lpstr>日程!Print_Area</vt:lpstr>
      <vt:lpstr>表紙!Print_Area</vt:lpstr>
      <vt:lpstr>BR予選!Print_Titles</vt:lpstr>
    </vt:vector>
  </TitlesOfParts>
  <Company>岐阜県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s.ueno</cp:lastModifiedBy>
  <cp:lastPrinted>2025-10-20T09:14:28Z</cp:lastPrinted>
  <dcterms:created xsi:type="dcterms:W3CDTF">2003-10-20T10:00:48Z</dcterms:created>
  <dcterms:modified xsi:type="dcterms:W3CDTF">2025-10-20T23:59:42Z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3F521CF4">
    <vt:lpwstr/>
  </property>
  <property fmtid="{D5CDD505-2E9C-101B-9397-08002B2CF9AE}" pid="3" name="IVID3890390F">
    <vt:lpwstr/>
  </property>
  <property fmtid="{D5CDD505-2E9C-101B-9397-08002B2CF9AE}" pid="4" name="IVID300108D3">
    <vt:lpwstr/>
  </property>
  <property fmtid="{D5CDD505-2E9C-101B-9397-08002B2CF9AE}" pid="5" name="IVID12570FED">
    <vt:lpwstr/>
  </property>
  <property fmtid="{D5CDD505-2E9C-101B-9397-08002B2CF9AE}" pid="6" name="IVID27401302">
    <vt:lpwstr/>
  </property>
  <property fmtid="{D5CDD505-2E9C-101B-9397-08002B2CF9AE}" pid="7" name="IVID3741603">
    <vt:lpwstr/>
  </property>
  <property fmtid="{D5CDD505-2E9C-101B-9397-08002B2CF9AE}" pid="8" name="IVIDA1C15F8">
    <vt:lpwstr/>
  </property>
  <property fmtid="{D5CDD505-2E9C-101B-9397-08002B2CF9AE}" pid="9" name="IVID19671DD2">
    <vt:lpwstr/>
  </property>
  <property fmtid="{D5CDD505-2E9C-101B-9397-08002B2CF9AE}" pid="10" name="IVID347C4E03">
    <vt:lpwstr/>
  </property>
  <property fmtid="{D5CDD505-2E9C-101B-9397-08002B2CF9AE}" pid="11" name="IVID202A09E8">
    <vt:lpwstr/>
  </property>
  <property fmtid="{D5CDD505-2E9C-101B-9397-08002B2CF9AE}" pid="12" name="IVID14061907">
    <vt:lpwstr/>
  </property>
  <property fmtid="{D5CDD505-2E9C-101B-9397-08002B2CF9AE}" pid="13" name="IVID3F1513D2">
    <vt:lpwstr/>
  </property>
  <property fmtid="{D5CDD505-2E9C-101B-9397-08002B2CF9AE}" pid="14" name="IVIDE3E11EA">
    <vt:lpwstr/>
  </property>
  <property fmtid="{D5CDD505-2E9C-101B-9397-08002B2CF9AE}" pid="15" name="IVID26571901">
    <vt:lpwstr/>
  </property>
  <property fmtid="{D5CDD505-2E9C-101B-9397-08002B2CF9AE}" pid="16" name="IVID2C6E1BE7">
    <vt:lpwstr/>
  </property>
  <property fmtid="{D5CDD505-2E9C-101B-9397-08002B2CF9AE}" pid="17" name="IVID2D3A14F7">
    <vt:lpwstr/>
  </property>
  <property fmtid="{D5CDD505-2E9C-101B-9397-08002B2CF9AE}" pid="18" name="IVID312914FB">
    <vt:lpwstr/>
  </property>
  <property fmtid="{D5CDD505-2E9C-101B-9397-08002B2CF9AE}" pid="19" name="IVID3D4D1504">
    <vt:lpwstr/>
  </property>
  <property fmtid="{D5CDD505-2E9C-101B-9397-08002B2CF9AE}" pid="20" name="IVID141416D6">
    <vt:lpwstr/>
  </property>
  <property fmtid="{D5CDD505-2E9C-101B-9397-08002B2CF9AE}" pid="21" name="MSIP_Label_624c30c7-6183-4bbf-8f5a-0619846ff2e2_Enabled">
    <vt:lpwstr>true</vt:lpwstr>
  </property>
  <property fmtid="{D5CDD505-2E9C-101B-9397-08002B2CF9AE}" pid="22" name="MSIP_Label_624c30c7-6183-4bbf-8f5a-0619846ff2e2_SetDate">
    <vt:lpwstr>2023-03-27T01:50:35Z</vt:lpwstr>
  </property>
  <property fmtid="{D5CDD505-2E9C-101B-9397-08002B2CF9AE}" pid="23" name="MSIP_Label_624c30c7-6183-4bbf-8f5a-0619846ff2e2_Method">
    <vt:lpwstr>Standard</vt:lpwstr>
  </property>
  <property fmtid="{D5CDD505-2E9C-101B-9397-08002B2CF9AE}" pid="24" name="MSIP_Label_624c30c7-6183-4bbf-8f5a-0619846ff2e2_Name">
    <vt:lpwstr>組織外公開</vt:lpwstr>
  </property>
  <property fmtid="{D5CDD505-2E9C-101B-9397-08002B2CF9AE}" pid="25" name="MSIP_Label_624c30c7-6183-4bbf-8f5a-0619846ff2e2_SiteId">
    <vt:lpwstr>2c12496b-3cf3-4d5b-b8fe-9b6a510058d9</vt:lpwstr>
  </property>
  <property fmtid="{D5CDD505-2E9C-101B-9397-08002B2CF9AE}" pid="26" name="MSIP_Label_624c30c7-6183-4bbf-8f5a-0619846ff2e2_ActionId">
    <vt:lpwstr>88acc9d8-ccac-481e-bc10-deb312a849ad</vt:lpwstr>
  </property>
  <property fmtid="{D5CDD505-2E9C-101B-9397-08002B2CF9AE}" pid="27" name="MSIP_Label_624c30c7-6183-4bbf-8f5a-0619846ff2e2_ContentBits">
    <vt:lpwstr>0</vt:lpwstr>
  </property>
</Properties>
</file>